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s" sheetId="1" state="visible" r:id="rId3"/>
    <sheet name="Customer inputs" sheetId="2" state="visible" r:id="rId4"/>
    <sheet name="ASRS options" sheetId="3" state="visible" r:id="rId5"/>
    <sheet name="Visual guide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<sst xmlns="http://schemas.openxmlformats.org/spreadsheetml/2006/main" count="551" uniqueCount="409">
  <si>
    <t xml:space="preserve">AETEC / ASM · Customer ROI calculator</t>
  </si>
  <si>
    <t xml:space="preserve">Rev M · 26 October 2026 · Customer self-entry</t>
  </si>
  <si>
    <t xml:space="preserve">Start with the yellow inputs. Click a picture link if unsure what to measure. Sizes and shelf coverage are examples until checked on site.</t>
  </si>
  <si>
    <t xml:space="preserve">Result</t>
  </si>
  <si>
    <t xml:space="preserve">Concept A</t>
  </si>
  <si>
    <t xml:space="preserve">Concept B</t>
  </si>
  <si>
    <t xml:space="preserve">Concept C</t>
  </si>
  <si>
    <t xml:space="preserve">Unit</t>
  </si>
  <si>
    <t xml:space="preserve">Enough storage to reach trolley target?</t>
  </si>
  <si>
    <t xml:space="preserve">status</t>
  </si>
  <si>
    <t xml:space="preserve">Usable tray positions in racks</t>
  </si>
  <si>
    <t xml:space="preserve">count</t>
  </si>
  <si>
    <t xml:space="preserve">Trays held at planned fill level</t>
  </si>
  <si>
    <t xml:space="preserve">Loaded trays needed for trolley target</t>
  </si>
  <si>
    <t xml:space="preserve">Rack positions needed, including free spaces</t>
  </si>
  <si>
    <t xml:space="preserve">Extra rack positions still needed</t>
  </si>
  <si>
    <t xml:space="preserve">Trolleys still needed with this ASRS size</t>
  </si>
  <si>
    <t xml:space="preserve">Trolleys this ASRS size could remove</t>
  </si>
  <si>
    <t xml:space="preserve">Floor taken by all current trolleys</t>
  </si>
  <si>
    <t xml:space="preserve">sq ft</t>
  </si>
  <si>
    <t xml:space="preserve">Usable surface on all trolley shelves</t>
  </si>
  <si>
    <t xml:space="preserve">Loaded shelf area to move into ASRS</t>
  </si>
  <si>
    <t xml:space="preserve">Usable storage surface on one tray</t>
  </si>
  <si>
    <t xml:space="preserve">Total usable tray surface in ASRS</t>
  </si>
  <si>
    <t xml:space="preserve">Tray surface at planned filled positions</t>
  </si>
  <si>
    <t xml:space="preserve">Floor taken by the ASRS machine</t>
  </si>
  <si>
    <t xml:space="preserve">Crane travel floor, already inside ASRS</t>
  </si>
  <si>
    <t xml:space="preserve">Trolley floor freed before adding ASRS</t>
  </si>
  <si>
    <t xml:space="preserve">Extra aisle floor that can be freed</t>
  </si>
  <si>
    <t xml:space="preserve">Extra loading and service floor</t>
  </si>
  <si>
    <t xml:space="preserve">Net workshop floor gained</t>
  </si>
  <si>
    <t xml:space="preserve">Net floor at target, if capacity is enough</t>
  </si>
  <si>
    <t xml:space="preserve">Whole new test or assembly bays</t>
  </si>
  <si>
    <t xml:space="preserve">Tray storage surface / machine floor</t>
  </si>
  <si>
    <t xml:space="preserve">ratio</t>
  </si>
  <si>
    <t xml:space="preserve">Storage density compared with current trolleys</t>
  </si>
  <si>
    <t xml:space="preserve">Tray levels that fit the height</t>
  </si>
  <si>
    <t xml:space="preserve">Calculated machine length</t>
  </si>
  <si>
    <t xml:space="preserve">m</t>
  </si>
  <si>
    <t xml:space="preserve">Calculated machine width</t>
  </si>
  <si>
    <t xml:space="preserve">Machine height needed for these levels</t>
  </si>
  <si>
    <t xml:space="preserve">Hours available for other work per year</t>
  </si>
  <si>
    <t xml:space="preserve">hours</t>
  </si>
  <si>
    <t xml:space="preserve">Value of saved time, before cash check</t>
  </si>
  <si>
    <t xml:space="preserve">SGD</t>
  </si>
  <si>
    <t xml:space="preserve">Actual labour spending avoided per year</t>
  </si>
  <si>
    <t xml:space="preserve">Actual space spending avoided per year</t>
  </si>
  <si>
    <t xml:space="preserve">Yearly cash benefit after running costs</t>
  </si>
  <si>
    <t xml:space="preserve">Total one-off project investment</t>
  </si>
  <si>
    <t xml:space="preserve">Years to recover the investment</t>
  </si>
  <si>
    <t xml:space="preserve">years</t>
  </si>
  <si>
    <t xml:space="preserve">Five-year cash return on investment</t>
  </si>
  <si>
    <t xml:space="preserve">%</t>
  </si>
  <si>
    <t xml:space="preserve">Five-year cash value at today's value</t>
  </si>
  <si>
    <t xml:space="preserve">A negative floor result means this design needs more floor. The target-floor result stays blank until there is enough storage to reach the trolley target.</t>
  </si>
  <si>
    <t xml:space="preserve">Time saved gives employees more time for other work. Count it as cash saved only if it reduces real spending, such as paid overtime or hiring.</t>
  </si>
  <si>
    <t xml:space="preserve">To calculate the money return, enter project cost and yearly running cost. Enter labour or space rates when claiming cash savings from them. Unknown costs stay blank.</t>
  </si>
  <si>
    <t xml:space="preserve">Operating / layout check</t>
  </si>
  <si>
    <t xml:space="preserve">A</t>
  </si>
  <si>
    <t xml:space="preserve">B</t>
  </si>
  <si>
    <t xml:space="preserve">C</t>
  </si>
  <si>
    <t xml:space="preserve">Machine installation zone</t>
  </si>
  <si>
    <t xml:space="preserve">Weight of tray and goods</t>
  </si>
  <si>
    <t xml:space="preserve">Moves in the busiest hour</t>
  </si>
  <si>
    <t xml:space="preserve">Concept</t>
  </si>
  <si>
    <t xml:space="preserve">Trays held</t>
  </si>
  <si>
    <t xml:space="preserve">Trays needed</t>
  </si>
  <si>
    <t xml:space="preserve">Net floor (sq ft)</t>
  </si>
  <si>
    <t xml:space="preserve">Customer inputs</t>
  </si>
  <si>
    <t xml:space="preserve">Rev M · 26 October 2026 · Amber = input. Blue text = editable. Green = linked calculation.</t>
  </si>
  <si>
    <t xml:space="preserve">Input</t>
  </si>
  <si>
    <t xml:space="preserve">Your value</t>
  </si>
  <si>
    <t xml:space="preserve">What to measure or enter</t>
  </si>
  <si>
    <t xml:space="preserve">What happens when you change it</t>
  </si>
  <si>
    <t xml:space="preserve">Picture</t>
  </si>
  <si>
    <t xml:space="preserve">01  Trolleys now and after the change</t>
  </si>
  <si>
    <t xml:space="preserve">Unit for trolley measurements</t>
  </si>
  <si>
    <t xml:space="preserve">ft</t>
  </si>
  <si>
    <t xml:space="preserve">unit</t>
  </si>
  <si>
    <t xml:space="preserve">Choose feet, metres or millimetres. Use this unit for all trolley and shelf sizes below.</t>
  </si>
  <si>
    <t xml:space="preserve">Changing the unit without changing the numbers changes the measured size.</t>
  </si>
  <si>
    <t xml:space="preserve">Trolley outside length</t>
  </si>
  <si>
    <t xml:space="preserve">Measure end to end, including any handle or part that sticks out. See the blue L arrow.</t>
  </si>
  <si>
    <t xml:space="preserve">Length x outside width gives the floor taken by one trolley.</t>
  </si>
  <si>
    <t xml:space="preserve">Trolley outside width</t>
  </si>
  <si>
    <t xml:space="preserve">Measure across the widest part, including wheels or handles that stick out. See the blue W arrow.</t>
  </si>
  <si>
    <t xml:space="preserve">This changes trolley floor space. It does not change the usable shelf size.</t>
  </si>
  <si>
    <t xml:space="preserve">Usable length of one shelf</t>
  </si>
  <si>
    <t xml:space="preserve">Measure the flat shelf space inside the frame. Leave out posts, edges and handles. See the green l arrow.</t>
  </si>
  <si>
    <t xml:space="preserve">A longer usable shelf can hold more goods. This increases the goods the ASRS may need to hold.</t>
  </si>
  <si>
    <t xml:space="preserve">Usable depth of one shelf</t>
  </si>
  <si>
    <t xml:space="preserve">Measure from front to back inside the frame. See the green d arrow.</t>
  </si>
  <si>
    <t xml:space="preserve">Usable length x usable depth gives the storage surface on one shelf.</t>
  </si>
  <si>
    <t xml:space="preserve">Shelves on each trolley</t>
  </si>
  <si>
    <t xml:space="preserve">levels</t>
  </si>
  <si>
    <t xml:space="preserve">Count the shelves that can hold goods. The customer has confirmed four shelves.</t>
  </si>
  <si>
    <t xml:space="preserve">Four shelves multiply storage surface by four. They do not multiply floor space.</t>
  </si>
  <si>
    <t xml:space="preserve">Number of trolleys now</t>
  </si>
  <si>
    <t xml:space="preserve">trolleys</t>
  </si>
  <si>
    <t xml:space="preserve">Count all trolleys, including empty ones and spare ones. More than 500 were reported. The starting example uses 500.</t>
  </si>
  <si>
    <t xml:space="preserve">More trolleys use more floor and may hold more goods.</t>
  </si>
  <si>
    <t xml:space="preserve">How much shelf space holds goods?</t>
  </si>
  <si>
    <t xml:space="preserve">Enter the average across every shelf and trolley. Include empty shelves as 0%. Example: half covered = 50%.</t>
  </si>
  <si>
    <t xml:space="preserve">A lower measured percentage means fewer goods need to move into the ASRS. The starting 100% is unconfirmed.</t>
  </si>
  <si>
    <t xml:space="preserve">Number of trolleys you want to keep</t>
  </si>
  <si>
    <t xml:space="preserve">Count all future trolleys: working, waiting, docked, empty and spare.</t>
  </si>
  <si>
    <t xml:space="preserve">This is a target. The results check whether the ASRS has enough space to reach it.</t>
  </si>
  <si>
    <t xml:space="preserve">Empty trolleys within that target</t>
  </si>
  <si>
    <t xml:space="preserve">Of the trolleys you plan to keep, enter how many normally carry no goods.</t>
  </si>
  <si>
    <t xml:space="preserve">Empty trolleys still take floor space. They do not reduce the goods that the ASRS must hold.</t>
  </si>
  <si>
    <t xml:space="preserve">02  Floor space and time saved</t>
  </si>
  <si>
    <t xml:space="preserve">Extra aisle floor you can free</t>
  </si>
  <si>
    <t xml:space="preserve">m²</t>
  </si>
  <si>
    <t xml:space="preserve">Enter measured aisle area that will really become usable. Leave emergency and access routes clear.</t>
  </si>
  <si>
    <t xml:space="preserve">Added only when the trolley target is reached. Do not include trolley floor already counted.</t>
  </si>
  <si>
    <t xml:space="preserve">Floor needed for one new work bay</t>
  </si>
  <si>
    <t xml:space="preserve">m² per bay</t>
  </si>
  <si>
    <t xml:space="preserve">Enter the full area for one test or assembly bay, including its own working space.</t>
  </si>
  <si>
    <t xml:space="preserve">Divides the net floor saved into an estimated number of whole work bays.</t>
  </si>
  <si>
    <t xml:space="preserve">Employees who benefit</t>
  </si>
  <si>
    <t xml:space="preserve">people</t>
  </si>
  <si>
    <t xml:space="preserve">Count each employee once. Include only people whose work is covered by this ASRS.</t>
  </si>
  <si>
    <t xml:space="preserve">More employees increase the total time saved.</t>
  </si>
  <si>
    <t xml:space="preserve">Minutes saved per person per day</t>
  </si>
  <si>
    <t xml:space="preserve">min/day</t>
  </si>
  <si>
    <t xml:space="preserve">Enter time saved after allowing for any new waiting or handling. The example is 30 minutes.</t>
  </si>
  <si>
    <t xml:space="preserve">200 people x 30 minutes = 100 hours per day before the benefit share is applied.</t>
  </si>
  <si>
    <t xml:space="preserve">Working days per year</t>
  </si>
  <si>
    <t xml:space="preserve">days/year</t>
  </si>
  <si>
    <t xml:space="preserve">Enter the number of working days for the employees counted above.</t>
  </si>
  <si>
    <t xml:space="preserve">Converts daily time saved into yearly hours.</t>
  </si>
  <si>
    <t xml:space="preserve">Share of time saving achieved</t>
  </si>
  <si>
    <t xml:space="preserve">Enter how much of the planned saving this system can deliver. Example: 50% means half.</t>
  </si>
  <si>
    <t xml:space="preserve">Reduces the time benefit if the system serves only part of the work. Confirm this in the trial.</t>
  </si>
  <si>
    <t xml:space="preserve">03  Costs and cash savings</t>
  </si>
  <si>
    <t xml:space="preserve">Employee cost per paid hour</t>
  </si>
  <si>
    <t xml:space="preserve">SGD/hour</t>
  </si>
  <si>
    <t xml:space="preserve">Enter salary plus employer costs, divided by paid hours. Leave blank if unknown.</t>
  </si>
  <si>
    <t xml:space="preserve">Puts a value on time saved. Only actual spending avoided counts as cash savings.</t>
  </si>
  <si>
    <t xml:space="preserve">Share of labour value saved as cash</t>
  </si>
  <si>
    <t xml:space="preserve">Enter only the share that reduces paid overtime, avoids hiring, or otherwise cuts spending. Use 0% if payroll stays the same.</t>
  </si>
  <si>
    <t xml:space="preserve">Time used for other work is valuable, but is not automatically money saved.</t>
  </si>
  <si>
    <t xml:space="preserve">Space cost avoided per sq ft per year</t>
  </si>
  <si>
    <t xml:space="preserve">SGD/sq ft/year</t>
  </si>
  <si>
    <t xml:space="preserve">Enter annual rent or other space costs that can really be avoided. Do not use property purchase value.</t>
  </si>
  <si>
    <t xml:space="preserve">Applied to positive net floor saved, then reduced by the cash-saving share below.</t>
  </si>
  <si>
    <t xml:space="preserve">Share of space value saved as cash</t>
  </si>
  <si>
    <t xml:space="preserve">Use 0% if rent and other space costs stay the same. Enter a higher share only with evidence.</t>
  </si>
  <si>
    <t xml:space="preserve">Extra test or assembly bays do not automatically reduce rent.</t>
  </si>
  <si>
    <t xml:space="preserve">Other yearly cash savings or profit</t>
  </si>
  <si>
    <t xml:space="preserve">SGD/year</t>
  </si>
  <si>
    <t xml:space="preserve">Enter a separate, proven benefit after its costs. Do not repeat labour or space savings already entered.</t>
  </si>
  <si>
    <t xml:space="preserve">Adds to yearly cash benefit. Use extra profit after costs, not sales revenue.</t>
  </si>
  <si>
    <t xml:space="preserve">Source: customer discussion and Rev K. Four shelves confirmed; count, dimensions, loading and geometry remain editable assumptions.</t>
  </si>
  <si>
    <t xml:space="preserve">Linked assumptions</t>
  </si>
  <si>
    <t xml:space="preserve">Value</t>
  </si>
  <si>
    <t xml:space="preserve">Why it is fixed here</t>
  </si>
  <si>
    <t xml:space="preserve">Use joint version to change</t>
  </si>
  <si>
    <t xml:space="preserve">Unit for future trolley sizes</t>
  </si>
  <si>
    <t xml:space="preserve">Choose the measurement unit for the trolleys you will keep.</t>
  </si>
  <si>
    <t xml:space="preserve">Use the same unit for all future trolley and shelf dimensions.</t>
  </si>
  <si>
    <t xml:space="preserve">Future trolley outside length</t>
  </si>
  <si>
    <t xml:space="preserve">Measure end to end, including handles or other parts that stick out.</t>
  </si>
  <si>
    <t xml:space="preserve">Changes the floor taken by each trolley you keep.</t>
  </si>
  <si>
    <t xml:space="preserve">Future trolley outside width</t>
  </si>
  <si>
    <t xml:space="preserve">Measure the widest outside width, including projecting wheels.</t>
  </si>
  <si>
    <t xml:space="preserve">Future shelf usable length</t>
  </si>
  <si>
    <t xml:space="preserve">Measure the flat shelf length inside the future trolley frame.</t>
  </si>
  <si>
    <t xml:space="preserve">Changes how much goods the remaining trolleys can hold.</t>
  </si>
  <si>
    <t xml:space="preserve">Future shelf usable depth</t>
  </si>
  <si>
    <t xml:space="preserve">Measure the usable shelf surface from front to back.</t>
  </si>
  <si>
    <t xml:space="preserve">Shelves on each future trolley</t>
  </si>
  <si>
    <t xml:space="preserve">Count the storage shelves on each trolley you plan to keep.</t>
  </si>
  <si>
    <t xml:space="preserve">More shelves can hold more goods without adding trolley floor space.</t>
  </si>
  <si>
    <t xml:space="preserve">Future shelf space holding goods</t>
  </si>
  <si>
    <t xml:space="preserve">Enter the average shelf coverage on the loaded trolleys you will keep.</t>
  </si>
  <si>
    <t xml:space="preserve">A higher percentage leaves fewer goods to move into the ASRS.</t>
  </si>
  <si>
    <t xml:space="preserve">Extra goods to allow for</t>
  </si>
  <si>
    <t xml:space="preserve">Enter the expected increase in stored goods. Example: 10% means plan for 10% more goods.</t>
  </si>
  <si>
    <t xml:space="preserve">Adds to the storage demand before the ASRS is sized.</t>
  </si>
  <si>
    <t xml:space="preserve">How to enter the time saving</t>
  </si>
  <si>
    <t xml:space="preserve">Net minutes</t>
  </si>
  <si>
    <t xml:space="preserve">method</t>
  </si>
  <si>
    <t xml:space="preserve">Choose a direct daily saving, or compare time spent before and after the change.</t>
  </si>
  <si>
    <t xml:space="preserve">Selects which time entries the calculation uses.</t>
  </si>
  <si>
    <t xml:space="preserve">Minutes spent now per person per day</t>
  </si>
  <si>
    <t xml:space="preserve">Include walking, looking for goods, waiting and handling that this project will change.</t>
  </si>
  <si>
    <t xml:space="preserve">Compared with the future time to find the daily saving.</t>
  </si>
  <si>
    <t xml:space="preserve">Minutes spent after the change</t>
  </si>
  <si>
    <t xml:space="preserve">Allow for future waiting, collection and handling. Use the same activities as the current-time entry.</t>
  </si>
  <si>
    <t xml:space="preserve">Subtracted from the current time. More future time means less time saved.</t>
  </si>
  <si>
    <t xml:space="preserve">Floor to lowest overhead obstacle</t>
  </si>
  <si>
    <t xml:space="preserve">Measure to the lowest beam, pipe, duct or other obstacle above the machine.</t>
  </si>
  <si>
    <t xml:space="preserve">Limits how high the ASRS can be. The starting 5.5 m needs checking on site.</t>
  </si>
  <si>
    <t xml:space="preserve">Clear space needed above machine</t>
  </si>
  <si>
    <t xml:space="preserve">Enter the extra gap needed above the machine for services and access.</t>
  </si>
  <si>
    <t xml:space="preserve">This is taken off the measured building height.</t>
  </si>
  <si>
    <t xml:space="preserve">Clear floor length for machine</t>
  </si>
  <si>
    <t xml:space="preserve">Measure the available installation rectangle between obstacles. Leave blank until checked.</t>
  </si>
  <si>
    <t xml:space="preserve">Compared with the calculated machine length. The loading area needs a separate check.</t>
  </si>
  <si>
    <t xml:space="preserve">Clear floor width for machine</t>
  </si>
  <si>
    <t xml:space="preserve">Measure the available width between obstacles, keeping access routes clear.</t>
  </si>
  <si>
    <t xml:space="preserve">Compared with the calculated machine width.</t>
  </si>
  <si>
    <t xml:space="preserve">Share of benefit reached in year one</t>
  </si>
  <si>
    <t xml:space="preserve">Allow for installation, training and the time needed to reach normal operation.</t>
  </si>
  <si>
    <t xml:space="preserve">Reduces first-year benefits. The model still allows a full year of running costs.</t>
  </si>
  <si>
    <t xml:space="preserve">Rate used to value future cash</t>
  </si>
  <si>
    <t xml:space="preserve">Enter the rate agreed with your finance team. The starting 8% is only an example.</t>
  </si>
  <si>
    <t xml:space="preserve">A higher rate reduces the present value of future cash savings.</t>
  </si>
  <si>
    <t xml:space="preserve">Required customer inputs valid: 1 = yes</t>
  </si>
  <si>
    <t xml:space="preserve">Shared calculation</t>
  </si>
  <si>
    <t xml:space="preserve">Calculation purpose</t>
  </si>
  <si>
    <t xml:space="preserve">Square feet in one square metre</t>
  </si>
  <si>
    <t xml:space="preserve">Current trolley unit conversion to metres</t>
  </si>
  <si>
    <t xml:space="preserve">Future trolley unit conversion to metres</t>
  </si>
  <si>
    <t xml:space="preserve">Floor taken by one current trolley (m2)</t>
  </si>
  <si>
    <t xml:space="preserve">Usable surface on one current shelf (m2)</t>
  </si>
  <si>
    <t xml:space="preserve">Floor taken by one future trolley (m2)</t>
  </si>
  <si>
    <t xml:space="preserve">Usable surface on one future shelf (m2)</t>
  </si>
  <si>
    <t xml:space="preserve">Current shelf surface covered by goods (m2)</t>
  </si>
  <si>
    <t xml:space="preserve">Goods surface including planned growth (m2)</t>
  </si>
  <si>
    <t xml:space="preserve">Goods surface held on future trolleys (m2)</t>
  </si>
  <si>
    <t xml:space="preserve">Trolley floor freed at target, before ASRS (m2)</t>
  </si>
  <si>
    <t xml:space="preserve">Total work hours freed per day</t>
  </si>
  <si>
    <t xml:space="preserve">Choose and size an ASRS option</t>
  </si>
  <si>
    <t xml:space="preserve">A / B / C are alternative concepts. Edit one column; the results compare all three.</t>
  </si>
  <si>
    <t xml:space="preserve">What to enter</t>
  </si>
  <si>
    <t xml:space="preserve">Effect on results</t>
  </si>
  <si>
    <t xml:space="preserve">Rack and tray size</t>
  </si>
  <si>
    <t xml:space="preserve">Rack modules in the whole system</t>
  </si>
  <si>
    <t xml:space="preserve">modules</t>
  </si>
  <si>
    <t xml:space="preserve">Count all rack modules on both sides of every crane aisle. Do not enter just one side.</t>
  </si>
  <si>
    <t xml:space="preserve">More modules add tray spaces and usually make the machine longer.</t>
  </si>
  <si>
    <t xml:space="preserve">Vertical rack columns per module</t>
  </si>
  <si>
    <t xml:space="preserve">bays/module</t>
  </si>
  <si>
    <t xml:space="preserve">Count the upright storage columns within one module. Each column has several levels.</t>
  </si>
  <si>
    <t xml:space="preserve">Total columns = all modules x columns in each module.</t>
  </si>
  <si>
    <t xml:space="preserve">Tray levels in each rack column</t>
  </si>
  <si>
    <t xml:space="preserve">Count the tray supports from bottom to top in one rack column.</t>
  </si>
  <si>
    <t xml:space="preserve">More levels add storage, but only the levels that fit the height are counted.</t>
  </si>
  <si>
    <t xml:space="preserve">Trays side by side on one level</t>
  </si>
  <si>
    <t xml:space="preserve">trays</t>
  </si>
  <si>
    <t xml:space="preserve">Enter how many trays share one level within one rack column.</t>
  </si>
  <si>
    <t xml:space="preserve">Adds tray spaces. The trays and their gaps must fit between the uprights.</t>
  </si>
  <si>
    <t xml:space="preserve">Tray spaces that cannot be used</t>
  </si>
  <si>
    <t xml:space="preserve">positions</t>
  </si>
  <si>
    <t xml:space="preserve">Count the total spaces lost to a loading opening, pillar or other obstacle.</t>
  </si>
  <si>
    <t xml:space="preserve">Subtracts these spaces once. Do not multiply this number by the levels again.</t>
  </si>
  <si>
    <t xml:space="preserve">Tray spaces normally kept filled</t>
  </si>
  <si>
    <t xml:space="preserve">Enter the share of usable positions that will hold trays. Example: 80% leaves 20% free.</t>
  </si>
  <si>
    <t xml:space="preserve">Free positions help daily operation. Fewer filled positions mean less working storage.</t>
  </si>
  <si>
    <t xml:space="preserve">Enter the floor outside the machine used for loading, fencing, service and access. Leave out trolley bodies already counted.</t>
  </si>
  <si>
    <t xml:space="preserve">Taken off floor saved once. Do not add the crane aisle again.</t>
  </si>
  <si>
    <t xml:space="preserve">Height and clear gaps</t>
  </si>
  <si>
    <t xml:space="preserve">Overall machine height wanted</t>
  </si>
  <si>
    <t xml:space="preserve">Measure from the floor to the top of the machine.</t>
  </si>
  <si>
    <t xml:space="preserve">The calculation limits this to the building height after the overhead gap.</t>
  </si>
  <si>
    <t xml:space="preserve">Tray usable inside length</t>
  </si>
  <si>
    <t xml:space="preserve">Measure only the clear flat space inside the tray edges. See green l.</t>
  </si>
  <si>
    <t xml:space="preserve">Used to calculate actual storage surface.</t>
  </si>
  <si>
    <t xml:space="preserve">Tray usable inside depth</t>
  </si>
  <si>
    <t xml:space="preserve">Measure the clear flat space from front to back inside the tray. See green d.</t>
  </si>
  <si>
    <t xml:space="preserve">A larger usable surface can hold more goods per tray.</t>
  </si>
  <si>
    <t xml:space="preserve">Share of inside tray surface usable</t>
  </si>
  <si>
    <t xml:space="preserve">Allow for fixtures and gaps between goods. Example: 90% means 10% cannot hold goods.</t>
  </si>
  <si>
    <t xml:space="preserve">Reduces storage surface within each tray. This is different from empty rack positions.</t>
  </si>
  <si>
    <t xml:space="preserve">One-off and yearly costs</t>
  </si>
  <si>
    <t xml:space="preserve">Include equipment, software, site work, training and the trial fee, less an agreed credit once.</t>
  </si>
  <si>
    <t xml:space="preserve">Needed to calculate how long it takes to recover the investment.</t>
  </si>
  <si>
    <t xml:space="preserve">Total extra running cost per year</t>
  </si>
  <si>
    <t xml:space="preserve">Include maintenance, software fees, electricity and other added annual costs.</t>
  </si>
  <si>
    <t xml:space="preserve">Taken off yearly cash savings before calculating the return.</t>
  </si>
  <si>
    <t xml:space="preserve">Preset geometry / joint review</t>
  </si>
  <si>
    <t xml:space="preserve">Fixed assumptions in simple mode</t>
  </si>
  <si>
    <t xml:space="preserve">Use the joint workbook to change</t>
  </si>
  <si>
    <t xml:space="preserve">Number of crane aisles</t>
  </si>
  <si>
    <t xml:space="preserve">aisles</t>
  </si>
  <si>
    <t xml:space="preserve">Count the parallel travel lanes. This model allows one crane per aisle.</t>
  </si>
  <si>
    <t xml:space="preserve">More aisles make the machine wider and change how racks are arranged.</t>
  </si>
  <si>
    <t xml:space="preserve">Rack sides per crane aisle</t>
  </si>
  <si>
    <t xml:space="preserve">faces/aisle</t>
  </si>
  <si>
    <t xml:space="preserve">Choose 2 for racks on the left and right, or 1 for racks on one side only.</t>
  </si>
  <si>
    <t xml:space="preserve">Spreads the total rack modules across these sides.</t>
  </si>
  <si>
    <t xml:space="preserve">Distance between rack columns</t>
  </si>
  <si>
    <t xml:space="preserve">Measure from the centre of one upright to the same point on the next upright along the rack.</t>
  </si>
  <si>
    <t xml:space="preserve">Sets the rack length and the width available for trays.</t>
  </si>
  <si>
    <t xml:space="preserve">Width used by posts and side gaps</t>
  </si>
  <si>
    <t xml:space="preserve">Enter the combined width inside one repeated rack column that trays cannot use.</t>
  </si>
  <si>
    <t xml:space="preserve">Taken off the column spacing when checking whether trays fit.</t>
  </si>
  <si>
    <t xml:space="preserve">Outside depth of one rack row</t>
  </si>
  <si>
    <t xml:space="preserve">Measure from the front to the back of one rack row.</t>
  </si>
  <si>
    <t xml:space="preserve">Adds to machine width and limits tray depth.</t>
  </si>
  <si>
    <t xml:space="preserve">Extra depth needed around a tray</t>
  </si>
  <si>
    <t xml:space="preserve">Enter the depth allowance inside the rack for gaps and fittings.</t>
  </si>
  <si>
    <t xml:space="preserve">Tray outside depth must fit after this allowance is removed.</t>
  </si>
  <si>
    <t xml:space="preserve">Clear gap for crane travel</t>
  </si>
  <si>
    <t xml:space="preserve">Measure the gap between the facing rack rows.</t>
  </si>
  <si>
    <t xml:space="preserve">Adds machine floor space. This travel gap stores no goods.</t>
  </si>
  <si>
    <t xml:space="preserve">Extra length at both track ends</t>
  </si>
  <si>
    <t xml:space="preserve">Add the space needed at the two ends together and enter that total.</t>
  </si>
  <si>
    <t xml:space="preserve">Added once to machine length.</t>
  </si>
  <si>
    <t xml:space="preserve">Floor to first tray support</t>
  </si>
  <si>
    <t xml:space="preserve">Measure from the floor to the surface supporting the lowest tray.</t>
  </si>
  <si>
    <t xml:space="preserve">This uses part of the available height before the stacked levels begin.</t>
  </si>
  <si>
    <t xml:space="preserve">Gap from one tray support to next</t>
  </si>
  <si>
    <t xml:space="preserve">Measure vertically between the support surfaces of two neighbouring levels.</t>
  </si>
  <si>
    <t xml:space="preserve">Determines how many levels fit and whether loaded trays can move safely.</t>
  </si>
  <si>
    <t xml:space="preserve">Tray plus goods: total height</t>
  </si>
  <si>
    <t xml:space="preserve">Measure from the tray support surface to the top of the highest item.</t>
  </si>
  <si>
    <t xml:space="preserve">Must fit with the lifting gap and the shelf support allowance.</t>
  </si>
  <si>
    <t xml:space="preserve">Extra upward movement to lift tray</t>
  </si>
  <si>
    <t xml:space="preserve">Enter how far the crane lifts the tray to clear its supports.</t>
  </si>
  <si>
    <t xml:space="preserve">This gap is needed above the loaded tray, including the top level.</t>
  </si>
  <si>
    <t xml:space="preserve">Space for top parts and clearance</t>
  </si>
  <si>
    <t xml:space="preserve">Enter the space above the loaded top tray and its lifting gap for the top mechanism.</t>
  </si>
  <si>
    <t xml:space="preserve">Reduces the number of levels that fit.</t>
  </si>
  <si>
    <t xml:space="preserve">Tray outside length</t>
  </si>
  <si>
    <t xml:space="preserve">Measure the complete tray along the rack, including edges and fittings. See blue L.</t>
  </si>
  <si>
    <t xml:space="preserve">Used to check whether the tray fits the rack.</t>
  </si>
  <si>
    <t xml:space="preserve">Tray outside depth</t>
  </si>
  <si>
    <t xml:space="preserve">Measure the complete tray from front to back. See blue D.</t>
  </si>
  <si>
    <t xml:space="preserve">Used to check whether the tray fits the rack depth.</t>
  </si>
  <si>
    <t xml:space="preserve">Gap between trays on same level</t>
  </si>
  <si>
    <t xml:space="preserve">Enter the space between neighbouring trays placed side by side.</t>
  </si>
  <si>
    <t xml:space="preserve">Included between each pair when checking whether they fit.</t>
  </si>
  <si>
    <t xml:space="preserve">Space used by shelf supports</t>
  </si>
  <si>
    <t xml:space="preserve">Enter the support thickness within the height between two tray levels.</t>
  </si>
  <si>
    <t xml:space="preserve">Loaded tray height + lifting gap + support thickness must fit between levels.</t>
  </si>
  <si>
    <t xml:space="preserve">How to estimate trays needed</t>
  </si>
  <si>
    <t xml:space="preserve">Area estimate</t>
  </si>
  <si>
    <t xml:space="preserve">Use the shelf-area estimate, or use a count from an actual packing trial.</t>
  </si>
  <si>
    <t xml:space="preserve">The packing-trial count replaces the area estimate for this concept.</t>
  </si>
  <si>
    <t xml:space="preserve">Trays needed from packing trial</t>
  </si>
  <si>
    <t xml:space="preserve">Enter the loaded trays needed after keeping the target trolley fleet. Include planned extra goods.</t>
  </si>
  <si>
    <t xml:space="preserve">Used only when Measured trays is selected. Each concept needs its own trial count.</t>
  </si>
  <si>
    <t xml:space="preserve">Tray moves needed in busiest hour</t>
  </si>
  <si>
    <t xml:space="preserve">moves/hour</t>
  </si>
  <si>
    <t xml:space="preserve">Count one store as one move and one retrieval as one move.</t>
  </si>
  <si>
    <t xml:space="preserve">Compared with the expected crane output.</t>
  </si>
  <si>
    <t xml:space="preserve">Seconds for one complete tray move</t>
  </si>
  <si>
    <t xml:space="preserve">sec/move</t>
  </si>
  <si>
    <t xml:space="preserve">Time one full request from start until the tray is ready, including handling and docking.</t>
  </si>
  <si>
    <t xml:space="preserve">A longer move time reduces the number of moves per hour.</t>
  </si>
  <si>
    <t xml:space="preserve">Share of time machine can work</t>
  </si>
  <si>
    <t xml:space="preserve">Allow for normal pauses. Example: 85% allows 15% for interruptions.</t>
  </si>
  <si>
    <t xml:space="preserve">Reduces the maximum moves per hour to a more realistic estimate.</t>
  </si>
  <si>
    <t xml:space="preserve">Weight of tray and goods together</t>
  </si>
  <si>
    <t xml:space="preserve">kg</t>
  </si>
  <si>
    <t xml:space="preserve">Weigh the loaded tray, including the tray itself.</t>
  </si>
  <si>
    <t xml:space="preserve">Compared with the agreed crane weight limit.</t>
  </si>
  <si>
    <t xml:space="preserve">Agreed crane weight limit</t>
  </si>
  <si>
    <t xml:space="preserve">Enter the limit agreed with the engineering team. Leave blank until confirmed.</t>
  </si>
  <si>
    <t xml:space="preserve">Flags any loaded tray above the entered limit.</t>
  </si>
  <si>
    <t xml:space="preserve">Required design inputs valid: 1 = yes</t>
  </si>
  <si>
    <t xml:space="preserve">Calculation step</t>
  </si>
  <si>
    <t xml:space="preserve">Meaning</t>
  </si>
  <si>
    <t xml:space="preserve">Total vertical rack columns</t>
  </si>
  <si>
    <t xml:space="preserve">Columns along the longest rack row</t>
  </si>
  <si>
    <t xml:space="preserve">Machine height after building limit (m)</t>
  </si>
  <si>
    <t xml:space="preserve">Maximum tray levels that fit</t>
  </si>
  <si>
    <t xml:space="preserve">Tray positions before blocked spaces</t>
  </si>
  <si>
    <t xml:space="preserve">Tray and level fit: 1 yes, 0 no</t>
  </si>
  <si>
    <t xml:space="preserve">Trolley size and count checks: 1 yes, 0 no</t>
  </si>
  <si>
    <t xml:space="preserve">Current shelf surface per unit of floor</t>
  </si>
  <si>
    <t xml:space="preserve">Yearly value of freed floor before cash check</t>
  </si>
  <si>
    <t xml:space="preserve">Yearly cash benefit before running costs</t>
  </si>
  <si>
    <t xml:space="preserve">First-year cash benefit after running costs</t>
  </si>
  <si>
    <t xml:space="preserve">Five-year cash benefit less investment</t>
  </si>
  <si>
    <t xml:space="preserve">Estimated tray moves per hour</t>
  </si>
  <si>
    <t xml:space="preserve">Does the machine fit the measured floor?</t>
  </si>
  <si>
    <t xml:space="preserve">Does the loaded tray meet the weight limit?</t>
  </si>
  <si>
    <t xml:space="preserve">Can the crane meet the busiest hour?</t>
  </si>
  <si>
    <t xml:space="preserve">Picture guide: what to measure and what to change</t>
  </si>
  <si>
    <t xml:space="preserve">Rev M · 26 October 2026 · Click a picture link beside an input.</t>
  </si>
  <si>
    <t xml:space="preserve">Fill the yellow cells. Measure the trolley outside for floor space. Measure inside shelves and trays for storage space.</t>
  </si>
  <si>
    <t xml:space="preserve">Word or topic</t>
  </si>
  <si>
    <t xml:space="preserve">Plain-English meaning</t>
  </si>
  <si>
    <t xml:space="preserve">ASRS</t>
  </si>
  <si>
    <t xml:space="preserve">Automated storage and retrieval system: racks store the trays and a powered crane puts them away or brings them out.</t>
  </si>
  <si>
    <t xml:space="preserve">Footprint</t>
  </si>
  <si>
    <t xml:space="preserve">The floor taken by an object. Measure its outside length x outside width. Four shelves do not make four footprints.</t>
  </si>
  <si>
    <t xml:space="preserve">Bay and level</t>
  </si>
  <si>
    <t xml:space="preserve">A bay is one vertical rack column. A level is one storage height within that column. Count modules across both sides.</t>
  </si>
  <si>
    <t xml:space="preserve">Usable storage surface</t>
  </si>
  <si>
    <t xml:space="preserve">The space on shelves or trays where goods can sit. Leave out edges, fixtures and required gaps.</t>
  </si>
  <si>
    <t xml:space="preserve">Empty positions</t>
  </si>
  <si>
    <t xml:space="preserve">Rack spaces kept free for day-to-day operation. This is separate from free surface within a tray.</t>
  </si>
  <si>
    <t xml:space="preserve">IO bay</t>
  </si>
  <si>
    <t xml:space="preserve">Input/output bay: the place where trays enter or leave the system. Some positions above it may still hold shelving.</t>
  </si>
  <si>
    <t xml:space="preserve">Net floor gained</t>
  </si>
  <si>
    <t xml:space="preserve">Trolley floor freed + extra aisle floor freed - machine floor - extra loading/service floor. Negative means more floor is needed.</t>
  </si>
  <si>
    <t xml:space="preserve">Trolley target</t>
  </si>
  <si>
    <t xml:space="preserve">The desired future number, including loaded, empty and spare trolleys. It is reached only if enough ASRS storage is available.</t>
  </si>
  <si>
    <t xml:space="preserve">ROI and payback</t>
  </si>
  <si>
    <t xml:space="preserve">ROI means return on investment. Payback is the time needed for cash savings to recover the one-off project cost.</t>
  </si>
  <si>
    <t xml:space="preserve">Five-year cash value</t>
  </si>
  <si>
    <t xml:space="preserve">NPV means net present value. It values future cash savings at today's value using the entered finance rate, then subtracts investment.</t>
  </si>
  <si>
    <t xml:space="preserve">Example values</t>
  </si>
  <si>
    <t xml:space="preserve">Four shelves are confirmed. More than 500 carts were reported; 500 is the starting example. Trolley size and shelf coverage need measuring.</t>
  </si>
  <si>
    <t xml:space="preserve">Simple version</t>
  </si>
  <si>
    <t xml:space="preserve">Future trolleys use current trolley dimensions, shelves and loading. The detailed version lets both teams change these and the engineering inputs.</t>
  </si>
  <si>
    <t xml:space="preserve">Money assumptions</t>
  </si>
  <si>
    <t xml:space="preserve">SGD. No price is prefilled. Five years, before tax. No inflation, loan costs or resale value. Enter confirmed costs and cash benefits.</t>
  </si>
  <si>
    <t xml:space="preserve">Source documents</t>
  </si>
  <si>
    <t xml:space="preserve">Previous ROI workbook and Customer Presentation Rev K. The geometry remains a preliminary example, not a measured installation layout.</t>
  </si>
  <si>
    <t xml:space="preserve">Unit reference</t>
  </si>
  <si>
    <t xml:space="preserve">NIST: 1 foot = 0.3048 metre exactly. https://www.nist.gov/pml/us-surveyfoot</t>
  </si>
  <si>
    <t xml:space="preserve">Payback reference</t>
  </si>
  <si>
    <t xml:space="preserve">ACCA: cumulative net cash flows. https://www.accaglobal.com/gb/en/student/exam-support-resources/foundation-level-study-resources/ffm/ffm-technical-articles/discounted-payback.html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</si>
</sst>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#,##0;\(#,##0\);\–"/>
    <numFmt numFmtId="167" formatCode="#,##0.0;\(#,##0.0\);\–"/>
    <numFmt numFmtId="168" formatCode="0.00\x"/>
    <numFmt numFmtId="169" formatCode="0.00"/>
    <numFmt numFmtId="170" formatCode="&quot;S$&quot;#,##0;&quot;(S$&quot;#,##0\);\–"/>
    <numFmt numFmtId="171" formatCode="0.0"/>
    <numFmt numFmtId="172" formatCode="0.0%"/>
    <numFmt numFmtId="173" formatCode="#,##0"/>
    <numFmt numFmtId="174" formatCode="#,##0.00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2B32"/>
      <name val="Arial"/>
      <family val="0"/>
      <charset val="1"/>
    </font>
    <font>
      <b val="true"/>
      <sz val="17"/>
      <color rgb="FFC51F3A"/>
      <name val="Arial"/>
      <family val="0"/>
      <charset val="1"/>
    </font>
    <font>
      <sz val="10"/>
      <color rgb="FF66717E"/>
      <name val="Arial"/>
      <family val="0"/>
      <charset val="1"/>
    </font>
    <font>
      <sz val="11"/>
      <color rgb="FF66717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242B32"/>
      <name val="Arial"/>
      <family val="0"/>
      <charset val="1"/>
    </font>
    <font>
      <b val="true"/>
      <sz val="10.5"/>
      <color rgb="FF000000"/>
      <name val="Arial"/>
      <family val="2"/>
    </font>
    <font>
      <sz val="10"/>
      <color rgb="FF000000"/>
      <name val="Calibri"/>
      <family val="2"/>
    </font>
    <font>
      <sz val="9"/>
      <color rgb="FF000000"/>
      <name val="Arial"/>
      <family val="2"/>
    </font>
    <font>
      <sz val="11"/>
      <color rgb="FF1253A3"/>
      <name val="Arial"/>
      <family val="0"/>
      <charset val="1"/>
    </font>
    <font>
      <u val="single"/>
      <sz val="10"/>
      <color rgb="FF1253A3"/>
      <name val="Arial"/>
      <family val="0"/>
      <charset val="1"/>
    </font>
    <font>
      <sz val="11"/>
      <color rgb="FF20765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2B32"/>
        <bgColor rgb="FF333300"/>
      </patternFill>
    </fill>
    <fill>
      <patternFill patternType="solid">
        <fgColor rgb="FFF1F4F7"/>
        <bgColor rgb="FFFCE8EB"/>
      </patternFill>
    </fill>
    <fill>
      <patternFill patternType="solid">
        <fgColor rgb="FFFFF1C7"/>
        <bgColor rgb="FFFCE8E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51F3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0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0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14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4" fillId="4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4" fontId="1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C51F3A"/>
      </font>
      <fill>
        <patternFill>
          <bgColor rgb="FFFCE8EB"/>
        </patternFill>
      </fill>
    </dxf>
    <dxf>
      <font>
        <b val="1"/>
        <color rgb="FFC51F3A"/>
      </font>
      <fill>
        <patternFill>
          <bgColor rgb="FFFCE8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07651"/>
      <rgbColor rgb="FFCCCCCC"/>
      <rgbColor rgb="FF8B8B8B"/>
      <rgbColor rgb="FF9999FF"/>
      <rgbColor rgb="FFC51F3A"/>
      <rgbColor rgb="FFFFF1C7"/>
      <rgbColor rgb="FFF1F4F7"/>
      <rgbColor rgb="FF660066"/>
      <rgbColor rgb="FFFF8080"/>
      <rgbColor rgb="FF1253A3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17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B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050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Tray capacity and trays needed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"Trays held"</c:f>
              <c:strCache>
                <c:ptCount val="1"/>
                <c:pt idx="0">
                  <c:v>Trays held</c:v>
                </c:pt>
              </c:strCache>
            </c:strRef>
          </c:tx>
          <c:spPr>
            <a:solidFill>
              <a:srgbClr val="242B3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Results!$H$71:$H$73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Results!$I$71:$I$73</c:f>
              <c:numCache>
                <c:formatCode>General</c:formatCode>
                <c:ptCount val="3"/>
                <c:pt idx="0">
                  <c:v>128</c:v>
                </c:pt>
                <c:pt idx="1">
                  <c:v>51</c:v>
                </c:pt>
                <c:pt idx="2">
                  <c:v>80</c:v>
                </c:pt>
              </c:numCache>
            </c:numRef>
          </c:val>
        </c:ser>
        <c:ser>
          <c:idx val="1"/>
          <c:order val="1"/>
          <c:tx>
            <c:strRef>
              <c:f>"Trays needed"</c:f>
              <c:strCache>
                <c:ptCount val="1"/>
                <c:pt idx="0">
                  <c:v>Trays needed</c:v>
                </c:pt>
              </c:strCache>
            </c:strRef>
          </c:tx>
          <c:spPr>
            <a:solidFill>
              <a:srgbClr val="C51F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Results!$H$71:$H$73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Results!$J$71:$J$73</c:f>
              <c:numCache>
                <c:formatCode>General</c:formatCode>
                <c:ptCount val="3"/>
                <c:pt idx="0">
                  <c:v>3441</c:v>
                </c:pt>
                <c:pt idx="1">
                  <c:v>1155</c:v>
                </c:pt>
                <c:pt idx="2">
                  <c:v>3441</c:v>
                </c:pt>
              </c:numCache>
            </c:numRef>
          </c:val>
        </c:ser>
        <c:gapWidth val="150"/>
        <c:overlap val="0"/>
        <c:axId val="62384414"/>
        <c:axId val="47973287"/>
      </c:barChart>
      <c:catAx>
        <c:axId val="6238441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47973287"/>
        <c:crosses val="autoZero"/>
        <c:auto val="1"/>
        <c:lblAlgn val="ctr"/>
        <c:lblOffset val="100"/>
        <c:noMultiLvlLbl val="0"/>
      </c:catAx>
      <c:valAx>
        <c:axId val="4797328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62384414"/>
        <c:crosses val="autoZero"/>
        <c:crossBetween val="between"/>
      </c:valAx>
      <c:spPr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050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Net workshop floor gained (sq ft)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"Net floor (sq ft)"</c:f>
              <c:strCache>
                <c:ptCount val="1"/>
                <c:pt idx="0">
                  <c:v>Net floor (sq ft)</c:v>
                </c:pt>
              </c:strCache>
            </c:strRef>
          </c:tx>
          <c:spPr>
            <a:solidFill>
              <a:srgbClr val="C51F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Results!$H$77:$H$79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Results!$I$77:$I$79</c:f>
              <c:numCache>
                <c:formatCode>General</c:formatCode>
                <c:ptCount val="3"/>
                <c:pt idx="0">
                  <c:v>-341.723465669154</c:v>
                </c:pt>
                <c:pt idx="1">
                  <c:v>-459.543265753199</c:v>
                </c:pt>
                <c:pt idx="2">
                  <c:v>-313.417653501974</c:v>
                </c:pt>
              </c:numCache>
            </c:numRef>
          </c:val>
        </c:ser>
        <c:gapWidth val="150"/>
        <c:overlap val="0"/>
        <c:axId val="76602582"/>
        <c:axId val="10435005"/>
      </c:barChart>
      <c:catAx>
        <c:axId val="76602582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0435005"/>
        <c:crosses val="autoZero"/>
        <c:auto val="1"/>
        <c:lblAlgn val="ctr"/>
        <c:lblOffset val="100"/>
        <c:noMultiLvlLbl val="0"/>
      </c:catAx>
      <c:valAx>
        <c:axId val="1043500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76602582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Relationship Id="rId8" Type="http://schemas.openxmlformats.org/officeDocument/2006/relationships/image" Target="../media/image9.png"/><Relationship Id="rId9" Type="http://schemas.openxmlformats.org/officeDocument/2006/relationships/image" Target="../media/image10.png"/><Relationship Id="rId10" Type="http://schemas.openxmlformats.org/officeDocument/2006/relationships/image" Target="../media/image11.png"/><Relationship Id="rId11" Type="http://schemas.openxmlformats.org/officeDocument/2006/relationships/image" Target="../media/image12.png"/><Relationship Id="rId12" Type="http://schemas.openxmlformats.org/officeDocument/2006/relationships/image" Target="../media/image1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8</xdr:row>
      <xdr:rowOff>0</xdr:rowOff>
    </xdr:from>
    <xdr:to>
      <xdr:col>14</xdr:col>
      <xdr:colOff>610920</xdr:colOff>
      <xdr:row>23</xdr:row>
      <xdr:rowOff>469440</xdr:rowOff>
    </xdr:to>
    <xdr:graphicFrame>
      <xdr:nvGraphicFramePr>
        <xdr:cNvPr id="1" name="Chart"/>
        <xdr:cNvGraphicFramePr/>
      </xdr:nvGraphicFramePr>
      <xdr:xfrm>
        <a:off x="9304200" y="2451240"/>
        <a:ext cx="7025040" cy="7517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26</xdr:row>
      <xdr:rowOff>0</xdr:rowOff>
    </xdr:from>
    <xdr:to>
      <xdr:col>14</xdr:col>
      <xdr:colOff>610920</xdr:colOff>
      <xdr:row>40</xdr:row>
      <xdr:rowOff>469440</xdr:rowOff>
    </xdr:to>
    <xdr:graphicFrame>
      <xdr:nvGraphicFramePr>
        <xdr:cNvPr id="2" name="Chart"/>
        <xdr:cNvGraphicFramePr/>
      </xdr:nvGraphicFramePr>
      <xdr:xfrm>
        <a:off x="9304200" y="10909440"/>
        <a:ext cx="7025040" cy="7048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552240</xdr:colOff>
      <xdr:row>2</xdr:row>
      <xdr:rowOff>259920</xdr:rowOff>
    </xdr:to>
    <xdr:pic>
      <xdr:nvPicPr>
        <xdr:cNvPr id="3" name="10b97579-9d16-40cb-b2d8-05203d68d8ae"/>
        <xdr:cNvPicPr/>
      </xdr:nvPicPr>
      <xdr:blipFill>
        <a:blip r:embed="rId3"/>
        <a:stretch/>
      </xdr:blipFill>
      <xdr:spPr>
        <a:xfrm>
          <a:off x="13885560" y="291960"/>
          <a:ext cx="552240" cy="552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7</xdr:col>
      <xdr:colOff>327240</xdr:colOff>
      <xdr:row>32</xdr:row>
      <xdr:rowOff>123480</xdr:rowOff>
    </xdr:to>
    <xdr:pic>
      <xdr:nvPicPr>
        <xdr:cNvPr id="4" name="84935f05-e815-4a25-9901-14d056737228"/>
        <xdr:cNvPicPr/>
      </xdr:nvPicPr>
      <xdr:blipFill>
        <a:blip r:embed="rId1"/>
        <a:stretch/>
      </xdr:blipFill>
      <xdr:spPr>
        <a:xfrm>
          <a:off x="211320" y="321300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7</xdr:col>
      <xdr:colOff>327240</xdr:colOff>
      <xdr:row>61</xdr:row>
      <xdr:rowOff>123480</xdr:rowOff>
    </xdr:to>
    <xdr:pic>
      <xdr:nvPicPr>
        <xdr:cNvPr id="5" name="669fbc3c-bcf3-4aee-b0a1-de0291b6aa37"/>
        <xdr:cNvPicPr/>
      </xdr:nvPicPr>
      <xdr:blipFill>
        <a:blip r:embed="rId2"/>
        <a:stretch/>
      </xdr:blipFill>
      <xdr:spPr>
        <a:xfrm>
          <a:off x="211320" y="1168416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7</xdr:col>
      <xdr:colOff>327240</xdr:colOff>
      <xdr:row>90</xdr:row>
      <xdr:rowOff>123480</xdr:rowOff>
    </xdr:to>
    <xdr:pic>
      <xdr:nvPicPr>
        <xdr:cNvPr id="6" name="21df57d1-7e4e-4652-b21b-fe3d4d51a039"/>
        <xdr:cNvPicPr/>
      </xdr:nvPicPr>
      <xdr:blipFill>
        <a:blip r:embed="rId3"/>
        <a:stretch/>
      </xdr:blipFill>
      <xdr:spPr>
        <a:xfrm>
          <a:off x="211320" y="2015496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7</xdr:col>
      <xdr:colOff>327240</xdr:colOff>
      <xdr:row>119</xdr:row>
      <xdr:rowOff>123480</xdr:rowOff>
    </xdr:to>
    <xdr:pic>
      <xdr:nvPicPr>
        <xdr:cNvPr id="7" name="891d57d7-ca22-4cfd-a9dc-207ab8359588"/>
        <xdr:cNvPicPr/>
      </xdr:nvPicPr>
      <xdr:blipFill>
        <a:blip r:embed="rId4"/>
        <a:stretch/>
      </xdr:blipFill>
      <xdr:spPr>
        <a:xfrm>
          <a:off x="211320" y="2862576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7</xdr:col>
      <xdr:colOff>327240</xdr:colOff>
      <xdr:row>148</xdr:row>
      <xdr:rowOff>123120</xdr:rowOff>
    </xdr:to>
    <xdr:pic>
      <xdr:nvPicPr>
        <xdr:cNvPr id="8" name="1ab9ef97-7786-4792-b7ce-a3e810d03c8f"/>
        <xdr:cNvPicPr/>
      </xdr:nvPicPr>
      <xdr:blipFill>
        <a:blip r:embed="rId5"/>
        <a:stretch/>
      </xdr:blipFill>
      <xdr:spPr>
        <a:xfrm>
          <a:off x="211320" y="3709656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7</xdr:col>
      <xdr:colOff>327240</xdr:colOff>
      <xdr:row>177</xdr:row>
      <xdr:rowOff>123480</xdr:rowOff>
    </xdr:to>
    <xdr:pic>
      <xdr:nvPicPr>
        <xdr:cNvPr id="9" name="a8cee348-7d3b-4ba6-a743-61fbedebef12"/>
        <xdr:cNvPicPr/>
      </xdr:nvPicPr>
      <xdr:blipFill>
        <a:blip r:embed="rId6"/>
        <a:stretch/>
      </xdr:blipFill>
      <xdr:spPr>
        <a:xfrm>
          <a:off x="211320" y="4556772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7</xdr:col>
      <xdr:colOff>327240</xdr:colOff>
      <xdr:row>206</xdr:row>
      <xdr:rowOff>123480</xdr:rowOff>
    </xdr:to>
    <xdr:pic>
      <xdr:nvPicPr>
        <xdr:cNvPr id="10" name="ce62a06b-edc4-4751-8a03-0ca1d6e348fc"/>
        <xdr:cNvPicPr/>
      </xdr:nvPicPr>
      <xdr:blipFill>
        <a:blip r:embed="rId7"/>
        <a:stretch/>
      </xdr:blipFill>
      <xdr:spPr>
        <a:xfrm>
          <a:off x="211320" y="5403852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7</xdr:col>
      <xdr:colOff>327240</xdr:colOff>
      <xdr:row>235</xdr:row>
      <xdr:rowOff>123480</xdr:rowOff>
    </xdr:to>
    <xdr:pic>
      <xdr:nvPicPr>
        <xdr:cNvPr id="11" name="a7b3abb3-d3dc-45c1-a190-e37c8e7718a5"/>
        <xdr:cNvPicPr/>
      </xdr:nvPicPr>
      <xdr:blipFill>
        <a:blip r:embed="rId8"/>
        <a:stretch/>
      </xdr:blipFill>
      <xdr:spPr>
        <a:xfrm>
          <a:off x="211320" y="6250932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7</xdr:col>
      <xdr:colOff>327240</xdr:colOff>
      <xdr:row>264</xdr:row>
      <xdr:rowOff>123480</xdr:rowOff>
    </xdr:to>
    <xdr:pic>
      <xdr:nvPicPr>
        <xdr:cNvPr id="12" name="4928dd93-0f38-4e9b-895d-54f78bd7337c"/>
        <xdr:cNvPicPr/>
      </xdr:nvPicPr>
      <xdr:blipFill>
        <a:blip r:embed="rId9"/>
        <a:stretch/>
      </xdr:blipFill>
      <xdr:spPr>
        <a:xfrm>
          <a:off x="211320" y="7098048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7</xdr:col>
      <xdr:colOff>327240</xdr:colOff>
      <xdr:row>293</xdr:row>
      <xdr:rowOff>123480</xdr:rowOff>
    </xdr:to>
    <xdr:pic>
      <xdr:nvPicPr>
        <xdr:cNvPr id="13" name="9c7fe3ff-9e40-4cdc-b152-512a046fd7f8"/>
        <xdr:cNvPicPr/>
      </xdr:nvPicPr>
      <xdr:blipFill>
        <a:blip r:embed="rId10"/>
        <a:stretch/>
      </xdr:blipFill>
      <xdr:spPr>
        <a:xfrm>
          <a:off x="211320" y="7945128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301</xdr:row>
      <xdr:rowOff>0</xdr:rowOff>
    </xdr:from>
    <xdr:to>
      <xdr:col>7</xdr:col>
      <xdr:colOff>327240</xdr:colOff>
      <xdr:row>322</xdr:row>
      <xdr:rowOff>123480</xdr:rowOff>
    </xdr:to>
    <xdr:pic>
      <xdr:nvPicPr>
        <xdr:cNvPr id="14" name="6e1cb6ef-5345-4b2d-a7ca-a3cf1bc66430"/>
        <xdr:cNvPicPr/>
      </xdr:nvPicPr>
      <xdr:blipFill>
        <a:blip r:embed="rId11"/>
        <a:stretch/>
      </xdr:blipFill>
      <xdr:spPr>
        <a:xfrm>
          <a:off x="211320" y="8792208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0</xdr:colOff>
      <xdr:row>330</xdr:row>
      <xdr:rowOff>0</xdr:rowOff>
    </xdr:from>
    <xdr:to>
      <xdr:col>7</xdr:col>
      <xdr:colOff>327240</xdr:colOff>
      <xdr:row>351</xdr:row>
      <xdr:rowOff>123120</xdr:rowOff>
    </xdr:to>
    <xdr:pic>
      <xdr:nvPicPr>
        <xdr:cNvPr id="15" name="2bdff4d1-1383-4d1c-b126-bf47ddaaf488"/>
        <xdr:cNvPicPr/>
      </xdr:nvPicPr>
      <xdr:blipFill>
        <a:blip r:embed="rId12"/>
        <a:stretch/>
      </xdr:blipFill>
      <xdr:spPr>
        <a:xfrm>
          <a:off x="211320" y="96392880"/>
          <a:ext cx="10477080" cy="6257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1F3A"/>
    <pageSetUpPr fitToPage="false"/>
  </sheetPr>
  <dimension ref="A1:R1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9"/>
    <col collapsed="false" customWidth="true" hidden="false" outlineLevel="0" max="5" min="3" style="0" width="20"/>
    <col collapsed="false" customWidth="true" hidden="false" outlineLevel="0" max="6" min="6" style="0" width="17"/>
    <col collapsed="false" customWidth="true" hidden="false" outlineLevel="0" max="7" min="7" style="0" width="3"/>
    <col collapsed="false" customWidth="true" hidden="false" outlineLevel="0" max="14" min="8" style="0" width="13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3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23" hidden="false" customHeight="true" outlineLevel="0" collapsed="false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23" hidden="false" customHeight="true" outlineLevel="0" collapsed="false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"/>
      <c r="P4" s="1"/>
      <c r="Q4" s="1"/>
      <c r="R4" s="1"/>
    </row>
    <row r="5" customFormat="false" ht="23" hidden="false" customHeight="true" outlineLevel="0" collapsed="false">
      <c r="A5" s="1"/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</row>
    <row r="6" customFormat="false" ht="23" hidden="false" customHeight="true" outlineLevel="0" collapsed="false">
      <c r="A6" s="1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1"/>
    </row>
    <row r="7" customFormat="false" ht="23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customFormat="false" ht="32" hidden="false" customHeight="true" outlineLevel="0" collapsed="false">
      <c r="A8" s="1"/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customFormat="false" ht="37" hidden="false" customHeight="true" outlineLevel="0" collapsed="false">
      <c r="A9" s="1"/>
      <c r="B9" s="7" t="s">
        <v>8</v>
      </c>
      <c r="C9" s="8" t="str">
        <f aca="false">IF('ASRS options'!$C$52&lt;&gt;1,"Check inputs",IF('ASRS options'!$C$74&lt;&gt;1,"Check geometry",IF('ASRS options'!$C$75&lt;&gt;1,"Check trolley size",IF('ASRS options'!$C$78=1,"Target supported","More capacity needed"))))</f>
        <v>More capacity needed</v>
      </c>
      <c r="D9" s="8" t="str">
        <f aca="false">IF('ASRS options'!$D$52&lt;&gt;1,"Check inputs",IF('ASRS options'!$D$74&lt;&gt;1,"Check geometry",IF('ASRS options'!$D$75&lt;&gt;1,"Check trolley size",IF('ASRS options'!$D$78=1,"Target supported","More capacity needed"))))</f>
        <v>More capacity needed</v>
      </c>
      <c r="E9" s="8" t="str">
        <f aca="false">IF('ASRS options'!$E$52&lt;&gt;1,"Check inputs",IF('ASRS options'!$E$74&lt;&gt;1,"Check geometry",IF('ASRS options'!$E$75&lt;&gt;1,"Check trolley size",IF('ASRS options'!$E$78=1,"Target supported","More capacity needed"))))</f>
        <v>More capacity needed</v>
      </c>
      <c r="F9" s="7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customFormat="false" ht="37" hidden="false" customHeight="true" outlineLevel="0" collapsed="false">
      <c r="A10" s="1"/>
      <c r="B10" s="7" t="s">
        <v>10</v>
      </c>
      <c r="C10" s="9" t="n">
        <f aca="false">IF('ASRS options'!$C$66="","",'ASRS options'!$C$66)</f>
        <v>160</v>
      </c>
      <c r="D10" s="9" t="n">
        <f aca="false">IF('ASRS options'!$D$66="","",'ASRS options'!$D$66)</f>
        <v>64</v>
      </c>
      <c r="E10" s="9" t="n">
        <f aca="false">IF('ASRS options'!$E$66="","",'ASRS options'!$E$66)</f>
        <v>100</v>
      </c>
      <c r="F10" s="7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customFormat="false" ht="37" hidden="false" customHeight="true" outlineLevel="0" collapsed="false">
      <c r="A11" s="1"/>
      <c r="B11" s="7" t="s">
        <v>12</v>
      </c>
      <c r="C11" s="10" t="n">
        <f aca="false">IF('ASRS options'!$C$67="","",'ASRS options'!$C$67)</f>
        <v>128</v>
      </c>
      <c r="D11" s="10" t="n">
        <f aca="false">IF('ASRS options'!$D$67="","",'ASRS options'!$D$67)</f>
        <v>51</v>
      </c>
      <c r="E11" s="10" t="n">
        <f aca="false">IF('ASRS options'!$E$67="","",'ASRS options'!$E$67)</f>
        <v>80</v>
      </c>
      <c r="F11" s="7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customFormat="false" ht="37" hidden="false" customHeight="true" outlineLevel="0" collapsed="false">
      <c r="A12" s="1"/>
      <c r="B12" s="7" t="s">
        <v>13</v>
      </c>
      <c r="C12" s="10" t="n">
        <f aca="false">IF('ASRS options'!$C$71="","",'ASRS options'!$C$71)</f>
        <v>3441</v>
      </c>
      <c r="D12" s="10" t="n">
        <f aca="false">IF('ASRS options'!$D$71="","",'ASRS options'!$D$71)</f>
        <v>1155</v>
      </c>
      <c r="E12" s="10" t="n">
        <f aca="false">IF('ASRS options'!$E$71="","",'ASRS options'!$E$71)</f>
        <v>3441</v>
      </c>
      <c r="F12" s="7" t="s">
        <v>11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customFormat="false" ht="37" hidden="false" customHeight="true" outlineLevel="0" collapsed="false">
      <c r="A13" s="1"/>
      <c r="B13" s="7" t="s">
        <v>14</v>
      </c>
      <c r="C13" s="10" t="n">
        <f aca="false">IF('ASRS options'!$C$72="","",'ASRS options'!$C$72)</f>
        <v>4302</v>
      </c>
      <c r="D13" s="10" t="n">
        <f aca="false">IF('ASRS options'!$D$72="","",'ASRS options'!$D$72)</f>
        <v>1444</v>
      </c>
      <c r="E13" s="10" t="n">
        <f aca="false">IF('ASRS options'!$E$72="","",'ASRS options'!$E$72)</f>
        <v>4302</v>
      </c>
      <c r="F13" s="7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customFormat="false" ht="37" hidden="false" customHeight="true" outlineLevel="0" collapsed="false">
      <c r="A14" s="1"/>
      <c r="B14" s="7" t="s">
        <v>15</v>
      </c>
      <c r="C14" s="10" t="n">
        <f aca="false">IF('ASRS options'!$C$73="","",'ASRS options'!$C$73)</f>
        <v>4142</v>
      </c>
      <c r="D14" s="10" t="n">
        <f aca="false">IF('ASRS options'!$D$73="","",'ASRS options'!$D$73)</f>
        <v>1380</v>
      </c>
      <c r="E14" s="10" t="n">
        <f aca="false">IF('ASRS options'!$E$73="","",'ASRS options'!$E$73)</f>
        <v>4202</v>
      </c>
      <c r="F14" s="7" t="s">
        <v>11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37" hidden="false" customHeight="true" outlineLevel="0" collapsed="false">
      <c r="A15" s="1"/>
      <c r="B15" s="7" t="s">
        <v>16</v>
      </c>
      <c r="C15" s="10" t="n">
        <f aca="false">IF('ASRS options'!$C$76="","",'ASRS options'!$C$76)</f>
        <v>486</v>
      </c>
      <c r="D15" s="10" t="n">
        <f aca="false">IF('ASRS options'!$D$76="","",'ASRS options'!$D$76)</f>
        <v>483</v>
      </c>
      <c r="E15" s="10" t="n">
        <f aca="false">IF('ASRS options'!$E$76="","",'ASRS options'!$E$76)</f>
        <v>491</v>
      </c>
      <c r="F15" s="7" t="s">
        <v>11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customFormat="false" ht="37" hidden="false" customHeight="true" outlineLevel="0" collapsed="false">
      <c r="A16" s="1"/>
      <c r="B16" s="7" t="s">
        <v>17</v>
      </c>
      <c r="C16" s="10" t="n">
        <f aca="false">IF('ASRS options'!$C$77="","",'ASRS options'!$C$77)</f>
        <v>14</v>
      </c>
      <c r="D16" s="10" t="n">
        <f aca="false">IF('ASRS options'!$D$77="","",'ASRS options'!$D$77)</f>
        <v>17</v>
      </c>
      <c r="E16" s="10" t="n">
        <f aca="false">IF('ASRS options'!$E$77="","",'ASRS options'!$E$77)</f>
        <v>9</v>
      </c>
      <c r="F16" s="7" t="s">
        <v>11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customFormat="false" ht="37" hidden="false" customHeight="true" outlineLevel="0" collapsed="false">
      <c r="A17" s="1"/>
      <c r="B17" s="7" t="s">
        <v>18</v>
      </c>
      <c r="C17" s="11" t="n">
        <f aca="false">IF(ISNUMBER('Customer inputs'!$C$66),'Customer inputs'!$C$66*'Customer inputs'!$C$59,"")</f>
        <v>10000</v>
      </c>
      <c r="D17" s="11" t="n">
        <f aca="false">IF(ISNUMBER('Customer inputs'!$C$66),'Customer inputs'!$C$66*'Customer inputs'!$C$59,"")</f>
        <v>10000</v>
      </c>
      <c r="E17" s="11" t="n">
        <f aca="false">IF(ISNUMBER('Customer inputs'!$C$66),'Customer inputs'!$C$66*'Customer inputs'!$C$59,"")</f>
        <v>10000</v>
      </c>
      <c r="F17" s="7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customFormat="false" ht="37" hidden="false" customHeight="true" outlineLevel="0" collapsed="false">
      <c r="A18" s="1"/>
      <c r="B18" s="7" t="s">
        <v>20</v>
      </c>
      <c r="C18" s="11" t="n">
        <f aca="false">IF(ISNUMBER('Customer inputs'!$C$67),'Customer inputs'!$C$67*'Customer inputs'!$C$59,"")</f>
        <v>40000</v>
      </c>
      <c r="D18" s="11" t="n">
        <f aca="false">IF(ISNUMBER('Customer inputs'!$C$67),'Customer inputs'!$C$67*'Customer inputs'!$C$59,"")</f>
        <v>40000</v>
      </c>
      <c r="E18" s="11" t="n">
        <f aca="false">IF(ISNUMBER('Customer inputs'!$C$67),'Customer inputs'!$C$67*'Customer inputs'!$C$59,"")</f>
        <v>40000</v>
      </c>
      <c r="F18" s="7" t="s">
        <v>19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customFormat="false" ht="37" hidden="false" customHeight="true" outlineLevel="0" collapsed="false">
      <c r="A19" s="1"/>
      <c r="B19" s="7" t="s">
        <v>21</v>
      </c>
      <c r="C19" s="11" t="n">
        <f aca="false">IF(ISNUMBER('Customer inputs'!$C$71),'Customer inputs'!$C$71*'Customer inputs'!$C$59,"")</f>
        <v>32000</v>
      </c>
      <c r="D19" s="11" t="n">
        <f aca="false">IF(ISNUMBER('Customer inputs'!$C$71),'Customer inputs'!$C$71*'Customer inputs'!$C$59,"")</f>
        <v>32000</v>
      </c>
      <c r="E19" s="11" t="n">
        <f aca="false">IF(ISNUMBER('Customer inputs'!$C$71),'Customer inputs'!$C$71*'Customer inputs'!$C$59,"")</f>
        <v>32000</v>
      </c>
      <c r="F19" s="7" t="s">
        <v>19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customFormat="false" ht="37" hidden="false" customHeight="true" outlineLevel="0" collapsed="false">
      <c r="A20" s="1"/>
      <c r="B20" s="7" t="s">
        <v>22</v>
      </c>
      <c r="C20" s="11" t="n">
        <f aca="false">IF(ISNUMBER('ASRS options'!$C$68),'ASRS options'!$C$68*'Customer inputs'!$C$59,"")</f>
        <v>9.3000186000372</v>
      </c>
      <c r="D20" s="11" t="n">
        <f aca="false">IF(ISNUMBER('ASRS options'!$D$68),'ASRS options'!$D$68*'Customer inputs'!$C$59,"")</f>
        <v>27.7063054126108</v>
      </c>
      <c r="E20" s="11" t="n">
        <f aca="false">IF(ISNUMBER('ASRS options'!$E$68),'ASRS options'!$E$68*'Customer inputs'!$C$59,"")</f>
        <v>9.3000186000372</v>
      </c>
      <c r="F20" s="7" t="s">
        <v>19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37" hidden="false" customHeight="true" outlineLevel="0" collapsed="false">
      <c r="A21" s="1"/>
      <c r="B21" s="7" t="s">
        <v>23</v>
      </c>
      <c r="C21" s="11" t="n">
        <f aca="false">IF(ISNUMBER('ASRS options'!$C$69),'ASRS options'!$C$69*'Customer inputs'!$C$59,"")</f>
        <v>1488.00297600595</v>
      </c>
      <c r="D21" s="11" t="n">
        <f aca="false">IF(ISNUMBER('ASRS options'!$D$69),'ASRS options'!$D$69*'Customer inputs'!$C$59,"")</f>
        <v>1773.20354640709</v>
      </c>
      <c r="E21" s="11" t="n">
        <f aca="false">IF(ISNUMBER('ASRS options'!$E$69),'ASRS options'!$E$69*'Customer inputs'!$C$59,"")</f>
        <v>930.00186000372</v>
      </c>
      <c r="F21" s="7" t="s">
        <v>19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customFormat="false" ht="37" hidden="false" customHeight="true" outlineLevel="0" collapsed="false">
      <c r="A22" s="1"/>
      <c r="B22" s="7" t="s">
        <v>24</v>
      </c>
      <c r="C22" s="11" t="n">
        <f aca="false">IF(ISNUMBER('ASRS options'!$C$70),'ASRS options'!$C$70*'Customer inputs'!$C$59,"")</f>
        <v>1190.40238080476</v>
      </c>
      <c r="D22" s="11" t="n">
        <f aca="false">IF(ISNUMBER('ASRS options'!$D$70),'ASRS options'!$D$70*'Customer inputs'!$C$59,"")</f>
        <v>1413.02157604315</v>
      </c>
      <c r="E22" s="11" t="n">
        <f aca="false">IF(ISNUMBER('ASRS options'!$E$70),'ASRS options'!$E$70*'Customer inputs'!$C$59,"")</f>
        <v>744.001488002976</v>
      </c>
      <c r="F22" s="7" t="s">
        <v>19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customFormat="false" ht="37" hidden="false" customHeight="true" outlineLevel="0" collapsed="false">
      <c r="A23" s="1"/>
      <c r="B23" s="7" t="s">
        <v>25</v>
      </c>
      <c r="C23" s="11" t="n">
        <f aca="false">IF(ISNUMBER('ASRS options'!$C$59),'ASRS options'!$C$59*'Customer inputs'!$C$59,"")</f>
        <v>406.445257334959</v>
      </c>
      <c r="D23" s="11" t="n">
        <f aca="false">IF(ISNUMBER('ASRS options'!$D$59),'ASRS options'!$D$59*'Customer inputs'!$C$59,"")</f>
        <v>584.265057419004</v>
      </c>
      <c r="E23" s="11" t="n">
        <f aca="false">IF(ISNUMBER('ASRS options'!$E$59),'ASRS options'!$E$59*'Customer inputs'!$C$59,"")</f>
        <v>278.139445167779</v>
      </c>
      <c r="F23" s="7" t="s">
        <v>19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customFormat="false" ht="37" hidden="false" customHeight="true" outlineLevel="0" collapsed="false">
      <c r="A24" s="1"/>
      <c r="B24" s="7" t="s">
        <v>26</v>
      </c>
      <c r="C24" s="11" t="n">
        <f aca="false">IF(ISNUMBER('ASRS options'!$C$60),'ASRS options'!$C$60*'Customer inputs'!$C$59,"")</f>
        <v>177.819800084045</v>
      </c>
      <c r="D24" s="11" t="n">
        <f aca="false">IF(ISNUMBER('ASRS options'!$D$60),'ASRS options'!$D$60*'Customer inputs'!$C$59,"")</f>
        <v>279.431114417784</v>
      </c>
      <c r="E24" s="11" t="n">
        <f aca="false">IF(ISNUMBER('ASRS options'!$E$60),'ASRS options'!$E$60*'Customer inputs'!$C$59,"")</f>
        <v>130.88915066719</v>
      </c>
      <c r="F24" s="7" t="s">
        <v>19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customFormat="false" ht="37" hidden="false" customHeight="true" outlineLevel="0" collapsed="false">
      <c r="A25" s="1"/>
      <c r="B25" s="7" t="s">
        <v>27</v>
      </c>
      <c r="C25" s="11" t="n">
        <f aca="false">IF(ISNUMBER('ASRS options'!$C$79),'ASRS options'!$C$79*'Customer inputs'!$C$59,"")</f>
        <v>280</v>
      </c>
      <c r="D25" s="11" t="n">
        <f aca="false">IF(ISNUMBER('ASRS options'!$D$79),'ASRS options'!$D$79*'Customer inputs'!$C$59,"")</f>
        <v>339.999999999999</v>
      </c>
      <c r="E25" s="11" t="n">
        <f aca="false">IF(ISNUMBER('ASRS options'!$E$79),'ASRS options'!$E$79*'Customer inputs'!$C$59,"")</f>
        <v>180</v>
      </c>
      <c r="F25" s="7" t="s">
        <v>19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customFormat="false" ht="37" hidden="false" customHeight="true" outlineLevel="0" collapsed="false">
      <c r="A26" s="1"/>
      <c r="B26" s="7" t="s">
        <v>28</v>
      </c>
      <c r="C26" s="11" t="n">
        <f aca="false">IF(ISNUMBER('ASRS options'!$C$80),'ASRS options'!$C$80*'Customer inputs'!$C$59,"")</f>
        <v>0</v>
      </c>
      <c r="D26" s="11" t="n">
        <f aca="false">IF(ISNUMBER('ASRS options'!$D$80),'ASRS options'!$D$80*'Customer inputs'!$C$59,"")</f>
        <v>0</v>
      </c>
      <c r="E26" s="11" t="n">
        <f aca="false">IF(ISNUMBER('ASRS options'!$E$80),'ASRS options'!$E$80*'Customer inputs'!$C$59,"")</f>
        <v>0</v>
      </c>
      <c r="F26" s="7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customFormat="false" ht="37" hidden="false" customHeight="true" outlineLevel="0" collapsed="false">
      <c r="A27" s="1"/>
      <c r="B27" s="7" t="s">
        <v>29</v>
      </c>
      <c r="C27" s="11" t="n">
        <f aca="false">IF(ISNUMBER('ASRS options'!$C$13),'ASRS options'!$C$13*'Customer inputs'!$C$59,"")</f>
        <v>215.278208334194</v>
      </c>
      <c r="D27" s="11" t="n">
        <f aca="false">IF(ISNUMBER('ASRS options'!$D$13),'ASRS options'!$D$13*'Customer inputs'!$C$59,"")</f>
        <v>215.278208334194</v>
      </c>
      <c r="E27" s="11" t="n">
        <f aca="false">IF(ISNUMBER('ASRS options'!$E$13),'ASRS options'!$E$13*'Customer inputs'!$C$59,"")</f>
        <v>215.278208334194</v>
      </c>
      <c r="F27" s="7" t="s">
        <v>19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customFormat="false" ht="37" hidden="false" customHeight="true" outlineLevel="0" collapsed="false">
      <c r="A28" s="1"/>
      <c r="B28" s="12" t="s">
        <v>30</v>
      </c>
      <c r="C28" s="13" t="n">
        <f aca="false">IF(ISNUMBER('ASRS options'!$C$81),'ASRS options'!$C$81*'Customer inputs'!$C$59,"")</f>
        <v>-341.723465669154</v>
      </c>
      <c r="D28" s="13" t="n">
        <f aca="false">IF(ISNUMBER('ASRS options'!$D$81),'ASRS options'!$D$81*'Customer inputs'!$C$59,"")</f>
        <v>-459.543265753199</v>
      </c>
      <c r="E28" s="13" t="n">
        <f aca="false">IF(ISNUMBER('ASRS options'!$E$81),'ASRS options'!$E$81*'Customer inputs'!$C$59,"")</f>
        <v>-313.417653501974</v>
      </c>
      <c r="F28" s="12" t="s">
        <v>19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customFormat="false" ht="37" hidden="false" customHeight="true" outlineLevel="0" collapsed="false">
      <c r="A29" s="1"/>
      <c r="B29" s="7" t="s">
        <v>31</v>
      </c>
      <c r="C29" s="11" t="str">
        <f aca="false">IF(ISNUMBER('ASRS options'!$C$82),'ASRS options'!$C$82*'Customer inputs'!$C$59,"")</f>
        <v/>
      </c>
      <c r="D29" s="11" t="str">
        <f aca="false">IF(ISNUMBER('ASRS options'!$D$82),'ASRS options'!$D$82*'Customer inputs'!$C$59,"")</f>
        <v/>
      </c>
      <c r="E29" s="11" t="str">
        <f aca="false">IF(ISNUMBER('ASRS options'!$E$82),'ASRS options'!$E$82*'Customer inputs'!$C$59,"")</f>
        <v/>
      </c>
      <c r="F29" s="7" t="s">
        <v>19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customFormat="false" ht="37" hidden="false" customHeight="true" outlineLevel="0" collapsed="false">
      <c r="A30" s="1"/>
      <c r="B30" s="7" t="s">
        <v>32</v>
      </c>
      <c r="C30" s="10" t="n">
        <f aca="false">IF('ASRS options'!$C$83="","",'ASRS options'!$C$83)</f>
        <v>0</v>
      </c>
      <c r="D30" s="10" t="n">
        <f aca="false">IF('ASRS options'!$D$83="","",'ASRS options'!$D$83)</f>
        <v>0</v>
      </c>
      <c r="E30" s="10" t="n">
        <f aca="false">IF('ASRS options'!$E$83="","",'ASRS options'!$E$83)</f>
        <v>0</v>
      </c>
      <c r="F30" s="7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customFormat="false" ht="37" hidden="false" customHeight="true" outlineLevel="0" collapsed="false">
      <c r="A31" s="1"/>
      <c r="B31" s="7" t="s">
        <v>33</v>
      </c>
      <c r="C31" s="14" t="n">
        <f aca="false">IF('ASRS options'!$C$84="","",'ASRS options'!$C$84)</f>
        <v>3.66101694915254</v>
      </c>
      <c r="D31" s="14" t="n">
        <f aca="false">IF('ASRS options'!$D$84="","",'ASRS options'!$D$84)</f>
        <v>3.0349299926308</v>
      </c>
      <c r="E31" s="14" t="n">
        <f aca="false">IF('ASRS options'!$E$84="","",'ASRS options'!$E$84)</f>
        <v>3.34365325077399</v>
      </c>
      <c r="F31" s="7" t="s">
        <v>34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customFormat="false" ht="37" hidden="false" customHeight="true" outlineLevel="0" collapsed="false">
      <c r="A32" s="1"/>
      <c r="B32" s="7" t="s">
        <v>35</v>
      </c>
      <c r="C32" s="14" t="n">
        <f aca="false">IF('ASRS options'!$C$86="","",'ASRS options'!$C$86)</f>
        <v>0.915254237288136</v>
      </c>
      <c r="D32" s="14" t="n">
        <f aca="false">IF('ASRS options'!$D$86="","",'ASRS options'!$D$86)</f>
        <v>0.758732498157701</v>
      </c>
      <c r="E32" s="14" t="n">
        <f aca="false">IF('ASRS options'!$E$86="","",'ASRS options'!$E$86)</f>
        <v>0.835913312693499</v>
      </c>
      <c r="F32" s="7" t="s">
        <v>34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customFormat="false" ht="37" hidden="false" customHeight="true" outlineLevel="0" collapsed="false">
      <c r="A33" s="1"/>
      <c r="B33" s="7" t="s">
        <v>36</v>
      </c>
      <c r="C33" s="10" t="n">
        <f aca="false">IF('ASRS options'!$C$63="","",'ASRS options'!$C$63)</f>
        <v>10</v>
      </c>
      <c r="D33" s="10" t="n">
        <f aca="false">IF('ASRS options'!$D$63="","",'ASRS options'!$D$63)</f>
        <v>8</v>
      </c>
      <c r="E33" s="10" t="n">
        <f aca="false">IF('ASRS options'!$E$63="","",'ASRS options'!$E$63)</f>
        <v>10</v>
      </c>
      <c r="F33" s="7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customFormat="false" ht="37" hidden="false" customHeight="true" outlineLevel="0" collapsed="false">
      <c r="A34" s="1"/>
      <c r="B34" s="7" t="s">
        <v>37</v>
      </c>
      <c r="C34" s="15" t="n">
        <f aca="false">IF('ASRS options'!$C$57="","",'ASRS options'!$C$57)</f>
        <v>11.8</v>
      </c>
      <c r="D34" s="15" t="n">
        <f aca="false">IF('ASRS options'!$D$57="","",'ASRS options'!$D$57)</f>
        <v>11.8</v>
      </c>
      <c r="E34" s="15" t="n">
        <f aca="false">IF('ASRS options'!$E$57="","",'ASRS options'!$E$57)</f>
        <v>7.6</v>
      </c>
      <c r="F34" s="7" t="s">
        <v>38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customFormat="false" ht="37" hidden="false" customHeight="true" outlineLevel="0" collapsed="false">
      <c r="A35" s="1"/>
      <c r="B35" s="7" t="s">
        <v>39</v>
      </c>
      <c r="C35" s="15" t="n">
        <f aca="false">IF('ASRS options'!$C$58="","",'ASRS options'!$C$58)</f>
        <v>3.2</v>
      </c>
      <c r="D35" s="15" t="n">
        <f aca="false">IF('ASRS options'!$D$58="","",'ASRS options'!$D$58)</f>
        <v>4.6</v>
      </c>
      <c r="E35" s="15" t="n">
        <f aca="false">IF('ASRS options'!$E$58="","",'ASRS options'!$E$58)</f>
        <v>3.4</v>
      </c>
      <c r="F35" s="7" t="s">
        <v>38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customFormat="false" ht="37" hidden="false" customHeight="true" outlineLevel="0" collapsed="false">
      <c r="A36" s="1"/>
      <c r="B36" s="7" t="s">
        <v>40</v>
      </c>
      <c r="C36" s="15" t="n">
        <f aca="false">IF('ASRS options'!$C$64="","",'ASRS options'!$C$64)</f>
        <v>4.84</v>
      </c>
      <c r="D36" s="15" t="n">
        <f aca="false">IF('ASRS options'!$D$64="","",'ASRS options'!$D$64)</f>
        <v>4.79</v>
      </c>
      <c r="E36" s="15" t="n">
        <f aca="false">IF('ASRS options'!$E$64="","",'ASRS options'!$E$64)</f>
        <v>4.84</v>
      </c>
      <c r="F36" s="7" t="s">
        <v>38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customFormat="false" ht="37" hidden="false" customHeight="true" outlineLevel="0" collapsed="false">
      <c r="A37" s="1"/>
      <c r="B37" s="12" t="s">
        <v>41</v>
      </c>
      <c r="C37" s="16" t="n">
        <f aca="false">IF('Customer inputs'!$C$75="","",'Customer inputs'!$C$75)</f>
        <v>26000</v>
      </c>
      <c r="D37" s="16" t="n">
        <f aca="false">IF('Customer inputs'!$C$75="","",'Customer inputs'!$C$75)</f>
        <v>26000</v>
      </c>
      <c r="E37" s="16" t="n">
        <f aca="false">IF('Customer inputs'!$C$75="","",'Customer inputs'!$C$75)</f>
        <v>26000</v>
      </c>
      <c r="F37" s="12" t="s">
        <v>42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customFormat="false" ht="37" hidden="false" customHeight="true" outlineLevel="0" collapsed="false">
      <c r="A38" s="1"/>
      <c r="B38" s="7" t="s">
        <v>43</v>
      </c>
      <c r="C38" s="17" t="str">
        <f aca="false">IF('Customer inputs'!$C$76="","",'Customer inputs'!$C$76)</f>
        <v/>
      </c>
      <c r="D38" s="17" t="str">
        <f aca="false">IF('Customer inputs'!$C$76="","",'Customer inputs'!$C$76)</f>
        <v/>
      </c>
      <c r="E38" s="17" t="str">
        <f aca="false">IF('Customer inputs'!$C$76="","",'Customer inputs'!$C$76)</f>
        <v/>
      </c>
      <c r="F38" s="7" t="s">
        <v>44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customFormat="false" ht="37" hidden="false" customHeight="true" outlineLevel="0" collapsed="false">
      <c r="A39" s="1"/>
      <c r="B39" s="7" t="s">
        <v>45</v>
      </c>
      <c r="C39" s="17" t="n">
        <f aca="false">IF('Customer inputs'!$C$77="","",'Customer inputs'!$C$77)</f>
        <v>0</v>
      </c>
      <c r="D39" s="17" t="n">
        <f aca="false">IF('Customer inputs'!$C$77="","",'Customer inputs'!$C$77)</f>
        <v>0</v>
      </c>
      <c r="E39" s="17" t="n">
        <f aca="false">IF('Customer inputs'!$C$77="","",'Customer inputs'!$C$77)</f>
        <v>0</v>
      </c>
      <c r="F39" s="7" t="s">
        <v>44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customFormat="false" ht="37" hidden="false" customHeight="true" outlineLevel="0" collapsed="false">
      <c r="A40" s="1"/>
      <c r="B40" s="7" t="s">
        <v>46</v>
      </c>
      <c r="C40" s="17" t="n">
        <f aca="false">IF('ASRS options'!$C$88="","",'ASRS options'!$C$88)</f>
        <v>0</v>
      </c>
      <c r="D40" s="17" t="n">
        <f aca="false">IF('ASRS options'!$D$88="","",'ASRS options'!$D$88)</f>
        <v>0</v>
      </c>
      <c r="E40" s="17" t="n">
        <f aca="false">IF('ASRS options'!$E$88="","",'ASRS options'!$E$88)</f>
        <v>0</v>
      </c>
      <c r="F40" s="7" t="s">
        <v>44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customFormat="false" ht="37" hidden="false" customHeight="true" outlineLevel="0" collapsed="false">
      <c r="A41" s="1"/>
      <c r="B41" s="7" t="s">
        <v>47</v>
      </c>
      <c r="C41" s="17" t="str">
        <f aca="false">IF('ASRS options'!$C$90="","",'ASRS options'!$C$90)</f>
        <v/>
      </c>
      <c r="D41" s="17" t="str">
        <f aca="false">IF('ASRS options'!$D$90="","",'ASRS options'!$D$90)</f>
        <v/>
      </c>
      <c r="E41" s="17" t="str">
        <f aca="false">IF('ASRS options'!$E$90="","",'ASRS options'!$E$90)</f>
        <v/>
      </c>
      <c r="F41" s="7" t="s">
        <v>44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customFormat="false" ht="37" hidden="false" customHeight="true" outlineLevel="0" collapsed="false">
      <c r="A42" s="1"/>
      <c r="B42" s="7" t="s">
        <v>48</v>
      </c>
      <c r="C42" s="17" t="str">
        <f aca="false">IF('ASRS options'!$C$21="","",'ASRS options'!$C$21)</f>
        <v/>
      </c>
      <c r="D42" s="17" t="str">
        <f aca="false">IF('ASRS options'!$D$21="","",'ASRS options'!$D$21)</f>
        <v/>
      </c>
      <c r="E42" s="17" t="str">
        <f aca="false">IF('ASRS options'!$E$21="","",'ASRS options'!$E$21)</f>
        <v/>
      </c>
      <c r="F42" s="7" t="s">
        <v>44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customFormat="false" ht="37" hidden="false" customHeight="true" outlineLevel="0" collapsed="false">
      <c r="A43" s="1"/>
      <c r="B43" s="12" t="s">
        <v>49</v>
      </c>
      <c r="C43" s="18" t="str">
        <f aca="false">IF('ASRS options'!$C$92="","",'ASRS options'!$C$92)</f>
        <v/>
      </c>
      <c r="D43" s="18" t="str">
        <f aca="false">IF('ASRS options'!$D$92="","",'ASRS options'!$D$92)</f>
        <v/>
      </c>
      <c r="E43" s="18" t="str">
        <f aca="false">IF('ASRS options'!$E$92="","",'ASRS options'!$E$92)</f>
        <v/>
      </c>
      <c r="F43" s="12" t="s">
        <v>50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customFormat="false" ht="37" hidden="false" customHeight="true" outlineLevel="0" collapsed="false">
      <c r="A44" s="1"/>
      <c r="B44" s="7" t="s">
        <v>51</v>
      </c>
      <c r="C44" s="19" t="str">
        <f aca="false">IF('ASRS options'!$C$94="","",'ASRS options'!$C$94)</f>
        <v/>
      </c>
      <c r="D44" s="19" t="str">
        <f aca="false">IF('ASRS options'!$D$94="","",'ASRS options'!$D$94)</f>
        <v/>
      </c>
      <c r="E44" s="19" t="str">
        <f aca="false">IF('ASRS options'!$E$94="","",'ASRS options'!$E$94)</f>
        <v/>
      </c>
      <c r="F44" s="7" t="s">
        <v>52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customFormat="false" ht="37" hidden="false" customHeight="true" outlineLevel="0" collapsed="false">
      <c r="A45" s="1"/>
      <c r="B45" s="7" t="s">
        <v>53</v>
      </c>
      <c r="C45" s="17" t="str">
        <f aca="false">IF('ASRS options'!$C$95="","",'ASRS options'!$C$95)</f>
        <v/>
      </c>
      <c r="D45" s="17" t="str">
        <f aca="false">IF('ASRS options'!$D$95="","",'ASRS options'!$D$95)</f>
        <v/>
      </c>
      <c r="E45" s="17" t="str">
        <f aca="false">IF('ASRS options'!$E$95="","",'ASRS options'!$E$95)</f>
        <v/>
      </c>
      <c r="F45" s="7" t="s">
        <v>44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customFormat="false" ht="23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customFormat="false" ht="23" hidden="false" customHeight="true" outlineLevel="0" collapsed="false">
      <c r="A47" s="1"/>
      <c r="B47" s="5" t="s">
        <v>54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"/>
      <c r="P47" s="1"/>
      <c r="Q47" s="1"/>
      <c r="R47" s="1"/>
    </row>
    <row r="48" customFormat="false" ht="23" hidden="false" customHeight="true" outlineLevel="0" collapsed="false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/>
      <c r="P48" s="1"/>
      <c r="Q48" s="1"/>
      <c r="R48" s="1"/>
    </row>
    <row r="49" customFormat="false" ht="23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customFormat="false" ht="23" hidden="false" customHeight="true" outlineLevel="0" collapsed="false">
      <c r="A50" s="1"/>
      <c r="B50" s="5" t="s">
        <v>55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"/>
      <c r="P50" s="1"/>
      <c r="Q50" s="1"/>
      <c r="R50" s="1"/>
    </row>
    <row r="51" customFormat="false" ht="23" hidden="false" customHeight="true" outlineLevel="0" collapsed="false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"/>
      <c r="P51" s="1"/>
      <c r="Q51" s="1"/>
      <c r="R51" s="1"/>
    </row>
    <row r="52" customFormat="false" ht="23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customFormat="false" ht="23" hidden="false" customHeight="true" outlineLevel="0" collapsed="false">
      <c r="A53" s="1"/>
      <c r="B53" s="5" t="s">
        <v>56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"/>
      <c r="P53" s="1"/>
      <c r="Q53" s="1"/>
      <c r="R53" s="1"/>
    </row>
    <row r="54" customFormat="false" ht="23" hidden="false" customHeight="true" outlineLevel="0" collapsed="false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1"/>
      <c r="P54" s="1"/>
      <c r="Q54" s="1"/>
      <c r="R54" s="1"/>
    </row>
    <row r="55" customFormat="false" ht="23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customFormat="false" ht="23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customFormat="false" ht="32" hidden="false" customHeight="true" outlineLevel="0" collapsed="false">
      <c r="A57" s="1"/>
      <c r="B57" s="6" t="s">
        <v>57</v>
      </c>
      <c r="C57" s="6" t="s">
        <v>58</v>
      </c>
      <c r="D57" s="6" t="s">
        <v>59</v>
      </c>
      <c r="E57" s="6" t="s">
        <v>60</v>
      </c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customFormat="false" ht="38" hidden="false" customHeight="true" outlineLevel="0" collapsed="false">
      <c r="A58" s="1"/>
      <c r="B58" s="7" t="s">
        <v>61</v>
      </c>
      <c r="C58" s="7" t="str">
        <f aca="false">'ASRS options'!$C$97</f>
        <v>Survey required</v>
      </c>
      <c r="D58" s="7" t="str">
        <f aca="false">'ASRS options'!$D$97</f>
        <v>Survey required</v>
      </c>
      <c r="E58" s="7" t="str">
        <f aca="false">'ASRS options'!$E$97</f>
        <v>Survey required</v>
      </c>
      <c r="F58" s="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customFormat="false" ht="38" hidden="false" customHeight="true" outlineLevel="0" collapsed="false">
      <c r="A59" s="1"/>
      <c r="B59" s="7" t="s">
        <v>62</v>
      </c>
      <c r="C59" s="7" t="str">
        <f aca="false">'ASRS options'!$C$98</f>
        <v>Weighing / rating required</v>
      </c>
      <c r="D59" s="7" t="str">
        <f aca="false">'ASRS options'!$D$98</f>
        <v>Weighing / rating required</v>
      </c>
      <c r="E59" s="7" t="str">
        <f aca="false">'ASRS options'!$E$98</f>
        <v>Weighing / rating required</v>
      </c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customFormat="false" ht="38" hidden="false" customHeight="true" outlineLevel="0" collapsed="false">
      <c r="A60" s="1"/>
      <c r="B60" s="7" t="s">
        <v>63</v>
      </c>
      <c r="C60" s="7" t="str">
        <f aca="false">'ASRS options'!$C$99</f>
        <v>POC timing required</v>
      </c>
      <c r="D60" s="7" t="str">
        <f aca="false">'ASRS options'!$D$99</f>
        <v>POC timing required</v>
      </c>
      <c r="E60" s="7" t="str">
        <f aca="false">'ASRS options'!$E$99</f>
        <v>POC timing required</v>
      </c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customFormat="false" ht="23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customFormat="false" ht="23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customFormat="false" ht="23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customFormat="false" ht="23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customFormat="false" ht="23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customFormat="false" ht="23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customFormat="false" ht="23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customFormat="false" ht="23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customFormat="false" ht="23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customFormat="false" ht="23" hidden="false" customHeight="true" outlineLevel="0" collapsed="false">
      <c r="A70" s="1"/>
      <c r="B70" s="1"/>
      <c r="C70" s="1"/>
      <c r="D70" s="1"/>
      <c r="E70" s="1"/>
      <c r="F70" s="1"/>
      <c r="G70" s="1"/>
      <c r="H70" s="1" t="s">
        <v>64</v>
      </c>
      <c r="I70" s="1" t="s">
        <v>65</v>
      </c>
      <c r="J70" s="1" t="s">
        <v>66</v>
      </c>
      <c r="K70" s="1"/>
      <c r="L70" s="1"/>
      <c r="M70" s="1"/>
      <c r="N70" s="1"/>
      <c r="O70" s="1"/>
      <c r="P70" s="1"/>
      <c r="Q70" s="1"/>
      <c r="R70" s="1"/>
    </row>
    <row r="71" customFormat="false" ht="23" hidden="false" customHeight="true" outlineLevel="0" collapsed="false">
      <c r="A71" s="1"/>
      <c r="B71" s="1"/>
      <c r="C71" s="1"/>
      <c r="D71" s="1"/>
      <c r="E71" s="1"/>
      <c r="F71" s="1"/>
      <c r="G71" s="1"/>
      <c r="H71" s="1" t="s">
        <v>58</v>
      </c>
      <c r="I71" s="1" t="n">
        <f aca="false">'ASRS options'!$C$67</f>
        <v>128</v>
      </c>
      <c r="J71" s="1" t="n">
        <f aca="false">'ASRS options'!$C$71</f>
        <v>3441</v>
      </c>
      <c r="K71" s="1"/>
      <c r="L71" s="1"/>
      <c r="M71" s="1"/>
      <c r="N71" s="1"/>
      <c r="O71" s="1"/>
      <c r="P71" s="1"/>
      <c r="Q71" s="1"/>
      <c r="R71" s="1"/>
    </row>
    <row r="72" customFormat="false" ht="23" hidden="false" customHeight="true" outlineLevel="0" collapsed="false">
      <c r="A72" s="1"/>
      <c r="B72" s="1"/>
      <c r="C72" s="1"/>
      <c r="D72" s="1"/>
      <c r="E72" s="1"/>
      <c r="F72" s="1"/>
      <c r="G72" s="1"/>
      <c r="H72" s="1" t="s">
        <v>59</v>
      </c>
      <c r="I72" s="1" t="n">
        <f aca="false">'ASRS options'!$D$67</f>
        <v>51</v>
      </c>
      <c r="J72" s="1" t="n">
        <f aca="false">'ASRS options'!$D$71</f>
        <v>1155</v>
      </c>
      <c r="K72" s="1"/>
      <c r="L72" s="1"/>
      <c r="M72" s="1"/>
      <c r="N72" s="1"/>
      <c r="O72" s="1"/>
      <c r="P72" s="1"/>
      <c r="Q72" s="1"/>
      <c r="R72" s="1"/>
    </row>
    <row r="73" customFormat="false" ht="23" hidden="false" customHeight="true" outlineLevel="0" collapsed="false">
      <c r="A73" s="1"/>
      <c r="B73" s="1"/>
      <c r="C73" s="1"/>
      <c r="D73" s="1"/>
      <c r="E73" s="1"/>
      <c r="F73" s="1"/>
      <c r="G73" s="1"/>
      <c r="H73" s="1" t="s">
        <v>60</v>
      </c>
      <c r="I73" s="1" t="n">
        <f aca="false">'ASRS options'!$E$67</f>
        <v>80</v>
      </c>
      <c r="J73" s="1" t="n">
        <f aca="false">'ASRS options'!$E$71</f>
        <v>3441</v>
      </c>
      <c r="K73" s="1"/>
      <c r="L73" s="1"/>
      <c r="M73" s="1"/>
      <c r="N73" s="1"/>
      <c r="O73" s="1"/>
      <c r="P73" s="1"/>
      <c r="Q73" s="1"/>
      <c r="R73" s="1"/>
    </row>
    <row r="74" customFormat="false" ht="23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customFormat="false" ht="23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customFormat="false" ht="23" hidden="false" customHeight="true" outlineLevel="0" collapsed="false">
      <c r="A76" s="1"/>
      <c r="B76" s="1"/>
      <c r="C76" s="1"/>
      <c r="D76" s="1"/>
      <c r="E76" s="1"/>
      <c r="F76" s="1"/>
      <c r="G76" s="1"/>
      <c r="H76" s="1" t="s">
        <v>64</v>
      </c>
      <c r="I76" s="1" t="s">
        <v>67</v>
      </c>
      <c r="J76" s="1"/>
      <c r="K76" s="1"/>
      <c r="L76" s="1"/>
      <c r="M76" s="1"/>
      <c r="N76" s="1"/>
      <c r="O76" s="1"/>
      <c r="P76" s="1"/>
      <c r="Q76" s="1"/>
      <c r="R76" s="1"/>
    </row>
    <row r="77" customFormat="false" ht="23" hidden="false" customHeight="true" outlineLevel="0" collapsed="false">
      <c r="A77" s="1"/>
      <c r="B77" s="1"/>
      <c r="C77" s="1"/>
      <c r="D77" s="1"/>
      <c r="E77" s="1"/>
      <c r="F77" s="1"/>
      <c r="G77" s="1"/>
      <c r="H77" s="1" t="s">
        <v>58</v>
      </c>
      <c r="I77" s="1" t="n">
        <f aca="false">IF(ISNUMBER('ASRS options'!$C$81),'ASRS options'!$C$81*'Customer inputs'!$C$59,"")</f>
        <v>-341.723465669154</v>
      </c>
      <c r="J77" s="1"/>
      <c r="K77" s="1"/>
      <c r="L77" s="1"/>
      <c r="M77" s="1"/>
      <c r="N77" s="1"/>
      <c r="O77" s="1"/>
      <c r="P77" s="1"/>
      <c r="Q77" s="1"/>
      <c r="R77" s="1"/>
    </row>
    <row r="78" customFormat="false" ht="23" hidden="false" customHeight="true" outlineLevel="0" collapsed="false">
      <c r="A78" s="1"/>
      <c r="B78" s="1"/>
      <c r="C78" s="1"/>
      <c r="D78" s="1"/>
      <c r="E78" s="1"/>
      <c r="F78" s="1"/>
      <c r="G78" s="1"/>
      <c r="H78" s="1" t="s">
        <v>59</v>
      </c>
      <c r="I78" s="1" t="n">
        <f aca="false">IF(ISNUMBER('ASRS options'!$D$81),'ASRS options'!$D$81*'Customer inputs'!$C$59,"")</f>
        <v>-459.543265753199</v>
      </c>
      <c r="J78" s="1"/>
      <c r="K78" s="1"/>
      <c r="L78" s="1"/>
      <c r="M78" s="1"/>
      <c r="N78" s="1"/>
      <c r="O78" s="1"/>
      <c r="P78" s="1"/>
      <c r="Q78" s="1"/>
      <c r="R78" s="1"/>
    </row>
    <row r="79" customFormat="false" ht="23" hidden="false" customHeight="true" outlineLevel="0" collapsed="false">
      <c r="A79" s="1"/>
      <c r="B79" s="1"/>
      <c r="C79" s="1"/>
      <c r="D79" s="1"/>
      <c r="E79" s="1"/>
      <c r="F79" s="1"/>
      <c r="G79" s="1"/>
      <c r="H79" s="1" t="s">
        <v>60</v>
      </c>
      <c r="I79" s="1" t="n">
        <f aca="false">IF(ISNUMBER('ASRS options'!$E$81),'ASRS options'!$E$81*'Customer inputs'!$C$59,"")</f>
        <v>-313.417653501974</v>
      </c>
      <c r="J79" s="1"/>
      <c r="K79" s="1"/>
      <c r="L79" s="1"/>
      <c r="M79" s="1"/>
      <c r="N79" s="1"/>
      <c r="O79" s="1"/>
      <c r="P79" s="1"/>
      <c r="Q79" s="1"/>
      <c r="R79" s="1"/>
    </row>
    <row r="80" customFormat="false" ht="23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customFormat="false" ht="23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customFormat="false" ht="23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customFormat="false" ht="23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customFormat="false" ht="23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customFormat="false" ht="23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customFormat="false" ht="23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customFormat="false" ht="23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customFormat="false" ht="23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customFormat="false" ht="23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customFormat="false" ht="23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customFormat="false" ht="23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customFormat="false" ht="23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customFormat="false" ht="23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customFormat="false" ht="23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customFormat="false" ht="23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customFormat="false" ht="23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customFormat="false" ht="23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customFormat="false" ht="23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customFormat="false" ht="23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customFormat="false" ht="23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mergeCells count="4">
    <mergeCell ref="B5:N6"/>
    <mergeCell ref="B47:N48"/>
    <mergeCell ref="B50:N51"/>
    <mergeCell ref="B53:N54"/>
  </mergeCells>
  <conditionalFormatting sqref="C28:E28">
    <cfRule type="cellIs" priority="2" operator="lessThan" aboveAverage="0" equalAverage="0" bottom="0" percent="0" rank="0" text="" dxfId="0">
      <formula>0</formula>
    </cfRule>
  </conditionalFormatting>
  <conditionalFormatting sqref="C9:E9">
    <cfRule type="containsText" priority="3" operator="containsText" aboveAverage="0" equalAverage="0" bottom="0" percent="0" rank="0" text="More capacity" dxfId="1">
      <formula>NOT(ISERROR(SEARCH("More capacity",C9)))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1F3A"/>
    <pageSetUpPr fitToPage="false"/>
  </sheetPr>
  <dimension ref="A1:R1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9"/>
    <col collapsed="false" customWidth="true" hidden="false" outlineLevel="0" max="3" min="3" style="0" width="17"/>
    <col collapsed="false" customWidth="true" hidden="false" outlineLevel="0" max="4" min="4" style="0" width="19"/>
    <col collapsed="false" customWidth="true" hidden="false" outlineLevel="0" max="5" min="5" style="0" width="58"/>
    <col collapsed="false" customWidth="true" hidden="false" outlineLevel="0" max="6" min="6" style="0" width="57"/>
    <col collapsed="false" customWidth="true" hidden="false" outlineLevel="0" max="7" min="7" style="0" width="18"/>
    <col collapsed="false" customWidth="true" hidden="false" outlineLevel="0" max="8" min="8" style="0" width="3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3" hidden="false" customHeight="true" outlineLevel="0" collapsed="false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23" hidden="false" customHeight="true" outlineLevel="0" collapsed="false">
      <c r="A3" s="1"/>
      <c r="B3" s="3" t="s">
        <v>69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23" hidden="false" customHeight="true" outlineLevel="0" collapsed="false">
      <c r="A4" s="1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customFormat="false" ht="32" hidden="false" customHeight="true" outlineLevel="0" collapsed="false">
      <c r="A5" s="1"/>
      <c r="B5" s="6" t="s">
        <v>70</v>
      </c>
      <c r="C5" s="6" t="s">
        <v>71</v>
      </c>
      <c r="D5" s="6" t="s">
        <v>7</v>
      </c>
      <c r="E5" s="6" t="s">
        <v>72</v>
      </c>
      <c r="F5" s="6" t="s">
        <v>73</v>
      </c>
      <c r="G5" s="6" t="s">
        <v>74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customFormat="false" ht="23" hidden="false" customHeight="true" outlineLevel="0" collapsed="false">
      <c r="A6" s="1"/>
      <c r="B6" s="20" t="s">
        <v>75</v>
      </c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customFormat="false" ht="68" hidden="false" customHeight="true" outlineLevel="0" collapsed="false">
      <c r="A7" s="1"/>
      <c r="B7" s="7" t="s">
        <v>76</v>
      </c>
      <c r="C7" s="22" t="s">
        <v>77</v>
      </c>
      <c r="D7" s="7" t="s">
        <v>78</v>
      </c>
      <c r="E7" s="7" t="s">
        <v>79</v>
      </c>
      <c r="F7" s="7" t="s">
        <v>80</v>
      </c>
      <c r="G7" s="23" t="str">
        <f aca="false">HYPERLINK("#'Visual guide'!B41","See picture 2")</f>
        <v>See picture 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customFormat="false" ht="68" hidden="false" customHeight="true" outlineLevel="0" collapsed="false">
      <c r="A8" s="1"/>
      <c r="B8" s="7" t="s">
        <v>81</v>
      </c>
      <c r="C8" s="24" t="n">
        <v>10</v>
      </c>
      <c r="D8" s="7" t="str">
        <f aca="false">'Customer inputs'!$C$7</f>
        <v>ft</v>
      </c>
      <c r="E8" s="7" t="s">
        <v>82</v>
      </c>
      <c r="F8" s="7" t="s">
        <v>83</v>
      </c>
      <c r="G8" s="23" t="str">
        <f aca="false">HYPERLINK("#'Visual guide'!B41","See picture 2")</f>
        <v>See picture 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customFormat="false" ht="68" hidden="false" customHeight="true" outlineLevel="0" collapsed="false">
      <c r="A9" s="1"/>
      <c r="B9" s="7" t="s">
        <v>84</v>
      </c>
      <c r="C9" s="24" t="n">
        <v>2</v>
      </c>
      <c r="D9" s="7" t="str">
        <f aca="false">'Customer inputs'!$C$7</f>
        <v>ft</v>
      </c>
      <c r="E9" s="7" t="s">
        <v>85</v>
      </c>
      <c r="F9" s="7" t="s">
        <v>86</v>
      </c>
      <c r="G9" s="23" t="str">
        <f aca="false">HYPERLINK("#'Visual guide'!B41","See picture 2")</f>
        <v>See picture 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customFormat="false" ht="68" hidden="false" customHeight="true" outlineLevel="0" collapsed="false">
      <c r="A10" s="1"/>
      <c r="B10" s="7" t="s">
        <v>87</v>
      </c>
      <c r="C10" s="24" t="n">
        <v>10</v>
      </c>
      <c r="D10" s="7" t="str">
        <f aca="false">'Customer inputs'!$C$7</f>
        <v>ft</v>
      </c>
      <c r="E10" s="7" t="s">
        <v>88</v>
      </c>
      <c r="F10" s="7" t="s">
        <v>89</v>
      </c>
      <c r="G10" s="23" t="str">
        <f aca="false">HYPERLINK("#'Visual guide'!B70","See picture 3")</f>
        <v>See picture 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customFormat="false" ht="68" hidden="false" customHeight="true" outlineLevel="0" collapsed="false">
      <c r="A11" s="1"/>
      <c r="B11" s="7" t="s">
        <v>90</v>
      </c>
      <c r="C11" s="24" t="n">
        <v>2</v>
      </c>
      <c r="D11" s="7" t="str">
        <f aca="false">'Customer inputs'!$C$7</f>
        <v>ft</v>
      </c>
      <c r="E11" s="7" t="s">
        <v>91</v>
      </c>
      <c r="F11" s="7" t="s">
        <v>92</v>
      </c>
      <c r="G11" s="23" t="str">
        <f aca="false">HYPERLINK("#'Visual guide'!B70","See picture 3")</f>
        <v>See picture 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customFormat="false" ht="68" hidden="false" customHeight="true" outlineLevel="0" collapsed="false">
      <c r="A12" s="1"/>
      <c r="B12" s="7" t="s">
        <v>93</v>
      </c>
      <c r="C12" s="25" t="n">
        <v>4</v>
      </c>
      <c r="D12" s="7" t="s">
        <v>94</v>
      </c>
      <c r="E12" s="7" t="s">
        <v>95</v>
      </c>
      <c r="F12" s="7" t="s">
        <v>96</v>
      </c>
      <c r="G12" s="23" t="str">
        <f aca="false">HYPERLINK("#'Visual guide'!B70","See picture 3")</f>
        <v>See picture 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customFormat="false" ht="68" hidden="false" customHeight="true" outlineLevel="0" collapsed="false">
      <c r="A13" s="1"/>
      <c r="B13" s="7" t="s">
        <v>97</v>
      </c>
      <c r="C13" s="25" t="n">
        <v>500</v>
      </c>
      <c r="D13" s="7" t="s">
        <v>98</v>
      </c>
      <c r="E13" s="7" t="s">
        <v>99</v>
      </c>
      <c r="F13" s="7" t="s">
        <v>100</v>
      </c>
      <c r="G13" s="23" t="str">
        <f aca="false">HYPERLINK("#'Visual guide'!B273","See picture 10")</f>
        <v>See picture 10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customFormat="false" ht="68" hidden="false" customHeight="true" outlineLevel="0" collapsed="false">
      <c r="A14" s="1"/>
      <c r="B14" s="7" t="s">
        <v>101</v>
      </c>
      <c r="C14" s="26" t="n">
        <v>1</v>
      </c>
      <c r="D14" s="7" t="s">
        <v>52</v>
      </c>
      <c r="E14" s="7" t="s">
        <v>102</v>
      </c>
      <c r="F14" s="7" t="s">
        <v>103</v>
      </c>
      <c r="G14" s="23" t="str">
        <f aca="false">HYPERLINK("#'Visual guide'!B186","See picture 7")</f>
        <v>See picture 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68" hidden="false" customHeight="true" outlineLevel="0" collapsed="false">
      <c r="A15" s="1"/>
      <c r="B15" s="7" t="s">
        <v>104</v>
      </c>
      <c r="C15" s="25" t="n">
        <v>100</v>
      </c>
      <c r="D15" s="7" t="s">
        <v>98</v>
      </c>
      <c r="E15" s="7" t="s">
        <v>105</v>
      </c>
      <c r="F15" s="7" t="s">
        <v>106</v>
      </c>
      <c r="G15" s="23" t="str">
        <f aca="false">HYPERLINK("#'Visual guide'!B273","See picture 10")</f>
        <v>See picture 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customFormat="false" ht="68" hidden="false" customHeight="true" outlineLevel="0" collapsed="false">
      <c r="A16" s="1"/>
      <c r="B16" s="7" t="s">
        <v>107</v>
      </c>
      <c r="C16" s="25" t="n">
        <v>0</v>
      </c>
      <c r="D16" s="7" t="s">
        <v>98</v>
      </c>
      <c r="E16" s="7" t="s">
        <v>108</v>
      </c>
      <c r="F16" s="7" t="s">
        <v>109</v>
      </c>
      <c r="G16" s="23" t="str">
        <f aca="false">HYPERLINK("#'Visual guide'!B273","See picture 10")</f>
        <v>See picture 10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customFormat="false" ht="23" hidden="false" customHeight="true" outlineLevel="0" collapsed="false">
      <c r="A17" s="1"/>
      <c r="B17" s="20" t="s">
        <v>110</v>
      </c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customFormat="false" ht="68" hidden="false" customHeight="true" outlineLevel="0" collapsed="false">
      <c r="A18" s="1"/>
      <c r="B18" s="7" t="s">
        <v>111</v>
      </c>
      <c r="C18" s="24" t="n">
        <v>0</v>
      </c>
      <c r="D18" s="7" t="s">
        <v>112</v>
      </c>
      <c r="E18" s="7" t="s">
        <v>113</v>
      </c>
      <c r="F18" s="7" t="s">
        <v>114</v>
      </c>
      <c r="G18" s="23" t="str">
        <f aca="false">HYPERLINK("#'Visual guide'!B244","See picture 9")</f>
        <v>See picture 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customFormat="false" ht="68" hidden="false" customHeight="true" outlineLevel="0" collapsed="false">
      <c r="A19" s="1"/>
      <c r="B19" s="7" t="s">
        <v>115</v>
      </c>
      <c r="C19" s="24" t="n">
        <v>20</v>
      </c>
      <c r="D19" s="7" t="s">
        <v>116</v>
      </c>
      <c r="E19" s="7" t="s">
        <v>117</v>
      </c>
      <c r="F19" s="7" t="s">
        <v>118</v>
      </c>
      <c r="G19" s="23" t="str">
        <f aca="false">HYPERLINK("#'Visual guide'!B244","See picture 9")</f>
        <v>See picture 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customFormat="false" ht="68" hidden="false" customHeight="true" outlineLevel="0" collapsed="false">
      <c r="A20" s="1"/>
      <c r="B20" s="7" t="s">
        <v>119</v>
      </c>
      <c r="C20" s="25" t="n">
        <v>200</v>
      </c>
      <c r="D20" s="7" t="s">
        <v>120</v>
      </c>
      <c r="E20" s="7" t="s">
        <v>121</v>
      </c>
      <c r="F20" s="7" t="s">
        <v>122</v>
      </c>
      <c r="G20" s="23" t="str">
        <f aca="false">HYPERLINK("#'Visual guide'!B302","See picture 11")</f>
        <v>See picture 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68" hidden="false" customHeight="true" outlineLevel="0" collapsed="false">
      <c r="A21" s="1"/>
      <c r="B21" s="7" t="s">
        <v>123</v>
      </c>
      <c r="C21" s="24" t="n">
        <v>30</v>
      </c>
      <c r="D21" s="7" t="s">
        <v>124</v>
      </c>
      <c r="E21" s="7" t="s">
        <v>125</v>
      </c>
      <c r="F21" s="7" t="s">
        <v>126</v>
      </c>
      <c r="G21" s="23" t="str">
        <f aca="false">HYPERLINK("#'Visual guide'!B302","See picture 11")</f>
        <v>See picture 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customFormat="false" ht="68" hidden="false" customHeight="true" outlineLevel="0" collapsed="false">
      <c r="A22" s="1"/>
      <c r="B22" s="7" t="s">
        <v>127</v>
      </c>
      <c r="C22" s="25" t="n">
        <v>260</v>
      </c>
      <c r="D22" s="7" t="s">
        <v>128</v>
      </c>
      <c r="E22" s="7" t="s">
        <v>129</v>
      </c>
      <c r="F22" s="7" t="s">
        <v>130</v>
      </c>
      <c r="G22" s="23" t="str">
        <f aca="false">HYPERLINK("#'Visual guide'!B302","See picture 11")</f>
        <v>See picture 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customFormat="false" ht="68" hidden="false" customHeight="true" outlineLevel="0" collapsed="false">
      <c r="A23" s="1"/>
      <c r="B23" s="7" t="s">
        <v>131</v>
      </c>
      <c r="C23" s="26" t="n">
        <v>1</v>
      </c>
      <c r="D23" s="7" t="s">
        <v>52</v>
      </c>
      <c r="E23" s="7" t="s">
        <v>132</v>
      </c>
      <c r="F23" s="7" t="s">
        <v>133</v>
      </c>
      <c r="G23" s="23" t="str">
        <f aca="false">HYPERLINK("#'Visual guide'!B302","See picture 11")</f>
        <v>See picture 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customFormat="false" ht="23" hidden="false" customHeight="true" outlineLevel="0" collapsed="false">
      <c r="A24" s="1"/>
      <c r="B24" s="20" t="s">
        <v>134</v>
      </c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customFormat="false" ht="68" hidden="false" customHeight="true" outlineLevel="0" collapsed="false">
      <c r="A25" s="1"/>
      <c r="B25" s="7" t="s">
        <v>135</v>
      </c>
      <c r="C25" s="22"/>
      <c r="D25" s="7" t="s">
        <v>136</v>
      </c>
      <c r="E25" s="7" t="s">
        <v>137</v>
      </c>
      <c r="F25" s="7" t="s">
        <v>138</v>
      </c>
      <c r="G25" s="23" t="str">
        <f aca="false">HYPERLINK("#'Visual guide'!B302","See picture 11")</f>
        <v>See picture 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customFormat="false" ht="68" hidden="false" customHeight="true" outlineLevel="0" collapsed="false">
      <c r="A26" s="1"/>
      <c r="B26" s="7" t="s">
        <v>139</v>
      </c>
      <c r="C26" s="26" t="n">
        <v>0</v>
      </c>
      <c r="D26" s="7" t="s">
        <v>52</v>
      </c>
      <c r="E26" s="7" t="s">
        <v>140</v>
      </c>
      <c r="F26" s="7" t="s">
        <v>141</v>
      </c>
      <c r="G26" s="23" t="str">
        <f aca="false">HYPERLINK("#'Visual guide'!B331","See picture 12")</f>
        <v>See picture 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customFormat="false" ht="68" hidden="false" customHeight="true" outlineLevel="0" collapsed="false">
      <c r="A27" s="1"/>
      <c r="B27" s="7" t="s">
        <v>142</v>
      </c>
      <c r="C27" s="22"/>
      <c r="D27" s="7" t="s">
        <v>143</v>
      </c>
      <c r="E27" s="7" t="s">
        <v>144</v>
      </c>
      <c r="F27" s="7" t="s">
        <v>145</v>
      </c>
      <c r="G27" s="23" t="str">
        <f aca="false">HYPERLINK("#'Visual guide'!B331","See picture 12")</f>
        <v>See picture 12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customFormat="false" ht="68" hidden="false" customHeight="true" outlineLevel="0" collapsed="false">
      <c r="A28" s="1"/>
      <c r="B28" s="7" t="s">
        <v>146</v>
      </c>
      <c r="C28" s="26" t="n">
        <v>0</v>
      </c>
      <c r="D28" s="7" t="s">
        <v>52</v>
      </c>
      <c r="E28" s="7" t="s">
        <v>147</v>
      </c>
      <c r="F28" s="7" t="s">
        <v>148</v>
      </c>
      <c r="G28" s="23" t="str">
        <f aca="false">HYPERLINK("#'Visual guide'!B331","See picture 12")</f>
        <v>See picture 12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customFormat="false" ht="68" hidden="false" customHeight="true" outlineLevel="0" collapsed="false">
      <c r="A29" s="1"/>
      <c r="B29" s="7" t="s">
        <v>149</v>
      </c>
      <c r="C29" s="24" t="n">
        <v>0</v>
      </c>
      <c r="D29" s="7" t="s">
        <v>150</v>
      </c>
      <c r="E29" s="7" t="s">
        <v>151</v>
      </c>
      <c r="F29" s="7" t="s">
        <v>152</v>
      </c>
      <c r="G29" s="23" t="str">
        <f aca="false">HYPERLINK("#'Visual guide'!B331","See picture 12")</f>
        <v>See picture 12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customFormat="false" ht="23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customFormat="false" ht="23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customFormat="false" ht="23" hidden="false" customHeight="true" outlineLevel="0" collapsed="false">
      <c r="A32" s="1"/>
      <c r="B32" s="5" t="s">
        <v>153</v>
      </c>
      <c r="C32" s="5"/>
      <c r="D32" s="5"/>
      <c r="E32" s="5"/>
      <c r="F32" s="5"/>
      <c r="G32" s="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customFormat="false" ht="23" hidden="false" customHeight="true" outlineLevel="0" collapsed="false">
      <c r="A33" s="1"/>
      <c r="B33" s="5"/>
      <c r="C33" s="5"/>
      <c r="D33" s="5"/>
      <c r="E33" s="5"/>
      <c r="F33" s="5"/>
      <c r="G33" s="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customFormat="false" ht="23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customFormat="false" ht="32" hidden="false" customHeight="true" outlineLevel="0" collapsed="false">
      <c r="A35" s="1"/>
      <c r="B35" s="6" t="s">
        <v>154</v>
      </c>
      <c r="C35" s="6" t="s">
        <v>155</v>
      </c>
      <c r="D35" s="6" t="s">
        <v>7</v>
      </c>
      <c r="E35" s="6" t="s">
        <v>156</v>
      </c>
      <c r="F35" s="6" t="s">
        <v>157</v>
      </c>
      <c r="G35" s="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customFormat="false" ht="62" hidden="false" customHeight="true" outlineLevel="0" collapsed="false">
      <c r="A36" s="1"/>
      <c r="B36" s="7" t="s">
        <v>158</v>
      </c>
      <c r="C36" s="27" t="str">
        <f aca="false">'Customer inputs'!$C$7</f>
        <v>ft</v>
      </c>
      <c r="D36" s="7" t="s">
        <v>78</v>
      </c>
      <c r="E36" s="7" t="s">
        <v>159</v>
      </c>
      <c r="F36" s="7" t="s">
        <v>160</v>
      </c>
      <c r="G36" s="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customFormat="false" ht="62" hidden="false" customHeight="true" outlineLevel="0" collapsed="false">
      <c r="A37" s="1"/>
      <c r="B37" s="7" t="s">
        <v>161</v>
      </c>
      <c r="C37" s="27" t="n">
        <f aca="false">'Customer inputs'!$C$8</f>
        <v>10</v>
      </c>
      <c r="D37" s="7" t="str">
        <f aca="false">'Customer inputs'!$C$36</f>
        <v>ft</v>
      </c>
      <c r="E37" s="7" t="s">
        <v>162</v>
      </c>
      <c r="F37" s="7" t="s">
        <v>163</v>
      </c>
      <c r="G37" s="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customFormat="false" ht="62" hidden="false" customHeight="true" outlineLevel="0" collapsed="false">
      <c r="A38" s="1"/>
      <c r="B38" s="7" t="s">
        <v>164</v>
      </c>
      <c r="C38" s="27" t="n">
        <f aca="false">'Customer inputs'!$C$9</f>
        <v>2</v>
      </c>
      <c r="D38" s="7" t="str">
        <f aca="false">'Customer inputs'!$C$36</f>
        <v>ft</v>
      </c>
      <c r="E38" s="7" t="s">
        <v>165</v>
      </c>
      <c r="F38" s="7" t="s">
        <v>163</v>
      </c>
      <c r="G38" s="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customFormat="false" ht="62" hidden="false" customHeight="true" outlineLevel="0" collapsed="false">
      <c r="A39" s="1"/>
      <c r="B39" s="7" t="s">
        <v>166</v>
      </c>
      <c r="C39" s="27" t="n">
        <f aca="false">'Customer inputs'!$C$10</f>
        <v>10</v>
      </c>
      <c r="D39" s="7" t="str">
        <f aca="false">'Customer inputs'!$C$36</f>
        <v>ft</v>
      </c>
      <c r="E39" s="7" t="s">
        <v>167</v>
      </c>
      <c r="F39" s="7" t="s">
        <v>168</v>
      </c>
      <c r="G39" s="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customFormat="false" ht="62" hidden="false" customHeight="true" outlineLevel="0" collapsed="false">
      <c r="A40" s="1"/>
      <c r="B40" s="7" t="s">
        <v>169</v>
      </c>
      <c r="C40" s="27" t="n">
        <f aca="false">'Customer inputs'!$C$11</f>
        <v>2</v>
      </c>
      <c r="D40" s="7" t="str">
        <f aca="false">'Customer inputs'!$C$36</f>
        <v>ft</v>
      </c>
      <c r="E40" s="7" t="s">
        <v>170</v>
      </c>
      <c r="F40" s="7" t="s">
        <v>168</v>
      </c>
      <c r="G40" s="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customFormat="false" ht="62" hidden="false" customHeight="true" outlineLevel="0" collapsed="false">
      <c r="A41" s="1"/>
      <c r="B41" s="7" t="s">
        <v>171</v>
      </c>
      <c r="C41" s="27" t="n">
        <f aca="false">'Customer inputs'!$C$12</f>
        <v>4</v>
      </c>
      <c r="D41" s="7" t="s">
        <v>94</v>
      </c>
      <c r="E41" s="7" t="s">
        <v>172</v>
      </c>
      <c r="F41" s="7" t="s">
        <v>173</v>
      </c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customFormat="false" ht="62" hidden="false" customHeight="true" outlineLevel="0" collapsed="false">
      <c r="A42" s="1"/>
      <c r="B42" s="7" t="s">
        <v>174</v>
      </c>
      <c r="C42" s="27" t="n">
        <f aca="false">'Customer inputs'!$C$14</f>
        <v>1</v>
      </c>
      <c r="D42" s="7" t="s">
        <v>52</v>
      </c>
      <c r="E42" s="7" t="s">
        <v>175</v>
      </c>
      <c r="F42" s="7" t="s">
        <v>176</v>
      </c>
      <c r="G42" s="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customFormat="false" ht="62" hidden="false" customHeight="true" outlineLevel="0" collapsed="false">
      <c r="A43" s="1"/>
      <c r="B43" s="7" t="s">
        <v>177</v>
      </c>
      <c r="C43" s="27" t="n">
        <v>0</v>
      </c>
      <c r="D43" s="7" t="s">
        <v>52</v>
      </c>
      <c r="E43" s="7" t="s">
        <v>178</v>
      </c>
      <c r="F43" s="7" t="s">
        <v>179</v>
      </c>
      <c r="G43" s="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customFormat="false" ht="62" hidden="false" customHeight="true" outlineLevel="0" collapsed="false">
      <c r="A44" s="1"/>
      <c r="B44" s="7" t="s">
        <v>180</v>
      </c>
      <c r="C44" s="27" t="s">
        <v>181</v>
      </c>
      <c r="D44" s="7" t="s">
        <v>182</v>
      </c>
      <c r="E44" s="7" t="s">
        <v>183</v>
      </c>
      <c r="F44" s="7" t="s">
        <v>184</v>
      </c>
      <c r="G44" s="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customFormat="false" ht="62" hidden="false" customHeight="true" outlineLevel="0" collapsed="false">
      <c r="A45" s="1"/>
      <c r="B45" s="7" t="s">
        <v>185</v>
      </c>
      <c r="C45" s="27" t="n">
        <v>60</v>
      </c>
      <c r="D45" s="7" t="s">
        <v>124</v>
      </c>
      <c r="E45" s="7" t="s">
        <v>186</v>
      </c>
      <c r="F45" s="7" t="s">
        <v>187</v>
      </c>
      <c r="G45" s="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customFormat="false" ht="62" hidden="false" customHeight="true" outlineLevel="0" collapsed="false">
      <c r="A46" s="1"/>
      <c r="B46" s="7" t="s">
        <v>188</v>
      </c>
      <c r="C46" s="27" t="n">
        <v>30</v>
      </c>
      <c r="D46" s="7" t="s">
        <v>124</v>
      </c>
      <c r="E46" s="7" t="s">
        <v>189</v>
      </c>
      <c r="F46" s="7" t="s">
        <v>190</v>
      </c>
      <c r="G46" s="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customFormat="false" ht="62" hidden="false" customHeight="true" outlineLevel="0" collapsed="false">
      <c r="A47" s="1"/>
      <c r="B47" s="7" t="s">
        <v>191</v>
      </c>
      <c r="C47" s="27" t="n">
        <v>5.5</v>
      </c>
      <c r="D47" s="7" t="s">
        <v>38</v>
      </c>
      <c r="E47" s="7" t="s">
        <v>192</v>
      </c>
      <c r="F47" s="7" t="s">
        <v>193</v>
      </c>
      <c r="G47" s="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customFormat="false" ht="62" hidden="false" customHeight="true" outlineLevel="0" collapsed="false">
      <c r="A48" s="1"/>
      <c r="B48" s="7" t="s">
        <v>194</v>
      </c>
      <c r="C48" s="27" t="n">
        <v>0.5</v>
      </c>
      <c r="D48" s="7" t="s">
        <v>38</v>
      </c>
      <c r="E48" s="7" t="s">
        <v>195</v>
      </c>
      <c r="F48" s="7" t="s">
        <v>196</v>
      </c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customFormat="false" ht="62" hidden="false" customHeight="true" outlineLevel="0" collapsed="false">
      <c r="A49" s="1"/>
      <c r="B49" s="7" t="s">
        <v>197</v>
      </c>
      <c r="C49" s="27"/>
      <c r="D49" s="7" t="s">
        <v>38</v>
      </c>
      <c r="E49" s="7" t="s">
        <v>198</v>
      </c>
      <c r="F49" s="7" t="s">
        <v>199</v>
      </c>
      <c r="G49" s="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customFormat="false" ht="62" hidden="false" customHeight="true" outlineLevel="0" collapsed="false">
      <c r="A50" s="1"/>
      <c r="B50" s="7" t="s">
        <v>200</v>
      </c>
      <c r="C50" s="27"/>
      <c r="D50" s="7" t="s">
        <v>38</v>
      </c>
      <c r="E50" s="7" t="s">
        <v>201</v>
      </c>
      <c r="F50" s="7" t="s">
        <v>202</v>
      </c>
      <c r="G50" s="7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customFormat="false" ht="62" hidden="false" customHeight="true" outlineLevel="0" collapsed="false">
      <c r="A51" s="1"/>
      <c r="B51" s="7" t="s">
        <v>203</v>
      </c>
      <c r="C51" s="27" t="n">
        <v>1</v>
      </c>
      <c r="D51" s="7" t="s">
        <v>52</v>
      </c>
      <c r="E51" s="7" t="s">
        <v>204</v>
      </c>
      <c r="F51" s="7" t="s">
        <v>205</v>
      </c>
      <c r="G51" s="7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customFormat="false" ht="62" hidden="false" customHeight="true" outlineLevel="0" collapsed="false">
      <c r="A52" s="1"/>
      <c r="B52" s="7" t="s">
        <v>206</v>
      </c>
      <c r="C52" s="27" t="n">
        <v>0.08</v>
      </c>
      <c r="D52" s="7" t="s">
        <v>52</v>
      </c>
      <c r="E52" s="7" t="s">
        <v>207</v>
      </c>
      <c r="F52" s="7" t="s">
        <v>208</v>
      </c>
      <c r="G52" s="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customFormat="false" ht="23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customFormat="false" ht="23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customFormat="false" ht="23" hidden="false" customHeight="true" outlineLevel="0" collapsed="false">
      <c r="A55" s="1"/>
      <c r="B55" s="1" t="s">
        <v>209</v>
      </c>
      <c r="C55" s="1" t="n">
        <f aca="false">IF(AND(OR('Customer inputs'!$C$7="m",'Customer inputs'!$C$7="mm",'Customer inputs'!$C$7="ft"),IF(ISNUMBER('Customer inputs'!$C$8),AND('Customer inputs'!$C$8&gt;=0.001),FALSE()),IF(ISNUMBER('Customer inputs'!$C$9),AND('Customer inputs'!$C$9&gt;=0.001),FALSE()),IF(ISNUMBER('Customer inputs'!$C$10),AND('Customer inputs'!$C$10&gt;=0.001),FALSE()),IF(ISNUMBER('Customer inputs'!$C$11),AND('Customer inputs'!$C$11&gt;=0.001),FALSE()),IF(ISNUMBER('Customer inputs'!$C$12),AND('Customer inputs'!$C$12&gt;=1,MOD('Customer inputs'!$C$12,1)=0),FALSE()),IF(ISNUMBER('Customer inputs'!$C$13),AND('Customer inputs'!$C$13&gt;=1,MOD('Customer inputs'!$C$13,1)=0),FALSE()),IF(ISNUMBER('Customer inputs'!$C$14),AND('Customer inputs'!$C$14&gt;=0,'Customer inputs'!$C$14&lt;=1),FALSE()),IF(ISNUMBER('Customer inputs'!$C$15),AND('Customer inputs'!$C$15&gt;=0,MOD('Customer inputs'!$C$15,1)=0),FALSE()),IF(ISNUMBER('Customer inputs'!$C$16),AND('Customer inputs'!$C$16&gt;=0,MOD('Customer inputs'!$C$16,1)=0),FALSE()),OR('Customer inputs'!$C$36="m",'Customer inputs'!$C$36="mm",'Customer inputs'!$C$36="ft"),IF(ISNUMBER('Customer inputs'!$C$37),AND('Customer inputs'!$C$37&gt;=0.001),FALSE()),IF(ISNUMBER('Customer inputs'!$C$38),AND('Customer inputs'!$C$38&gt;=0.001),FALSE()),IF(ISNUMBER('Customer inputs'!$C$39),AND('Customer inputs'!$C$39&gt;=0.001),FALSE()),IF(ISNUMBER('Customer inputs'!$C$40),AND('Customer inputs'!$C$40&gt;=0.001),FALSE()),IF(ISNUMBER('Customer inputs'!$C$41),AND('Customer inputs'!$C$41&gt;=1,MOD('Customer inputs'!$C$41,1)=0),FALSE()),IF(ISNUMBER('Customer inputs'!$C$42),AND('Customer inputs'!$C$42&gt;=0,'Customer inputs'!$C$42&lt;=1),FALSE()),IF(ISNUMBER('Customer inputs'!$C$43),AND('Customer inputs'!$C$43&gt;=0),FALSE()),IF(ISNUMBER('Customer inputs'!$C$18),AND('Customer inputs'!$C$18&gt;=0),FALSE()),IF(ISNUMBER('Customer inputs'!$C$19),AND('Customer inputs'!$C$19&gt;=0.001),FALSE()),IF(ISNUMBER('Customer inputs'!$C$20),AND('Customer inputs'!$C$20&gt;=0,MOD('Customer inputs'!$C$20,1)=0),FALSE()),OR('Customer inputs'!$C$44="Net minutes",'Customer inputs'!$C$44="Before and after"),IF(ISNUMBER('Customer inputs'!$C$21),AND('Customer inputs'!$C$21&gt;=0),FALSE()),IF(ISNUMBER('Customer inputs'!$C$45),AND('Customer inputs'!$C$45&gt;=0),FALSE()),IF(ISNUMBER('Customer inputs'!$C$46),AND('Customer inputs'!$C$46&gt;=0),FALSE()),IF(ISNUMBER('Customer inputs'!$C$22),AND('Customer inputs'!$C$22&gt;=1,'Customer inputs'!$C$22&lt;=366,MOD('Customer inputs'!$C$22,1)=0),FALSE()),IF(ISNUMBER('Customer inputs'!$C$23),AND('Customer inputs'!$C$23&gt;=0,'Customer inputs'!$C$23&lt;=1),FALSE()),IF(ISNUMBER('Customer inputs'!$C$47),AND('Customer inputs'!$C$47&gt;=0.001),FALSE()),IF(ISNUMBER('Customer inputs'!$C$48),AND('Customer inputs'!$C$48&gt;=0),FALSE()),IF('Customer inputs'!$C$49="",TRUE(),IF(ISNUMBER('Customer inputs'!$C$49),AND('Customer inputs'!$C$49&gt;=0.001),FALSE())),IF('Customer inputs'!$C$50="",TRUE(),IF(ISNUMBER('Customer inputs'!$C$50),AND('Customer inputs'!$C$50&gt;=0.001),FALSE())),IF('Customer inputs'!$C$25="",TRUE(),IF(ISNUMBER('Customer inputs'!$C$25),AND('Customer inputs'!$C$25&gt;=0),FALSE())),IF(ISNUMBER('Customer inputs'!$C$26),AND('Customer inputs'!$C$26&gt;=0,'Customer inputs'!$C$26&lt;=1),FALSE()),IF('Customer inputs'!$C$27="",TRUE(),IF(ISNUMBER('Customer inputs'!$C$27),AND('Customer inputs'!$C$27&gt;=0),FALSE())),IF(ISNUMBER('Customer inputs'!$C$28),AND('Customer inputs'!$C$28&gt;=0,'Customer inputs'!$C$28&lt;=1),FALSE()),IF(ISNUMBER('Customer inputs'!$C$29),AND('Customer inputs'!$C$29&gt;=0),FALSE()),IF(ISNUMBER('Customer inputs'!$C$51),AND('Customer inputs'!$C$51&gt;=0,'Customer inputs'!$C$51&lt;=1),FALSE()),IF(ISNUMBER('Customer inputs'!$C$52),AND('Customer inputs'!$C$52&gt;=0,'Customer inputs'!$C$52&lt;=1),FALSE())),1,0)</f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customFormat="false" ht="23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customFormat="false" ht="23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customFormat="false" ht="32" hidden="false" customHeight="true" outlineLevel="0" collapsed="false">
      <c r="A58" s="1"/>
      <c r="B58" s="6" t="s">
        <v>210</v>
      </c>
      <c r="C58" s="6" t="s">
        <v>3</v>
      </c>
      <c r="D58" s="6" t="s">
        <v>7</v>
      </c>
      <c r="E58" s="6" t="s">
        <v>211</v>
      </c>
      <c r="F58" s="6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customFormat="false" ht="23" hidden="false" customHeight="true" outlineLevel="0" collapsed="false">
      <c r="A59" s="1"/>
      <c r="B59" s="1" t="s">
        <v>212</v>
      </c>
      <c r="C59" s="28" t="n">
        <f aca="false">IF('Customer inputs'!$C$55=1,1/(0.3048*0.3048),"")</f>
        <v>10.7639104167097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customFormat="false" ht="23" hidden="false" customHeight="true" outlineLevel="0" collapsed="false">
      <c r="A60" s="1"/>
      <c r="B60" s="1" t="s">
        <v>213</v>
      </c>
      <c r="C60" s="28" t="n">
        <f aca="false">IF('Customer inputs'!$C$55=1,IF('Customer inputs'!$C$7="ft",0.3048,IF('Customer inputs'!$C$7="mm",0.001,1)),"")</f>
        <v>0.3048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customFormat="false" ht="23" hidden="false" customHeight="true" outlineLevel="0" collapsed="false">
      <c r="A61" s="1"/>
      <c r="B61" s="1" t="s">
        <v>214</v>
      </c>
      <c r="C61" s="28" t="n">
        <f aca="false">IF('Customer inputs'!$C$55=1,IF('Customer inputs'!$C$36="ft",0.3048,IF('Customer inputs'!$C$36="mm",0.001,1)),"")</f>
        <v>0.3048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customFormat="false" ht="23" hidden="false" customHeight="true" outlineLevel="0" collapsed="false">
      <c r="A62" s="1"/>
      <c r="B62" s="1" t="s">
        <v>215</v>
      </c>
      <c r="C62" s="28" t="n">
        <f aca="false">IF('Customer inputs'!$C$55=1,'Customer inputs'!$C$8*'Customer inputs'!$C$9*'Customer inputs'!$C$60*'Customer inputs'!$C$60,"")</f>
        <v>1.8580608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customFormat="false" ht="23" hidden="false" customHeight="true" outlineLevel="0" collapsed="false">
      <c r="A63" s="1"/>
      <c r="B63" s="1" t="s">
        <v>216</v>
      </c>
      <c r="C63" s="28" t="n">
        <f aca="false">IF('Customer inputs'!$C$55=1,'Customer inputs'!$C$10*'Customer inputs'!$C$11*'Customer inputs'!$C$60*'Customer inputs'!$C$60,"")</f>
        <v>1.8580608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customFormat="false" ht="23" hidden="false" customHeight="true" outlineLevel="0" collapsed="false">
      <c r="A64" s="1"/>
      <c r="B64" s="1" t="s">
        <v>217</v>
      </c>
      <c r="C64" s="28" t="n">
        <f aca="false">IF('Customer inputs'!$C$55=1,'Customer inputs'!$C$37*'Customer inputs'!$C$38*'Customer inputs'!$C$61*'Customer inputs'!$C$61,"")</f>
        <v>1.8580608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customFormat="false" ht="23" hidden="false" customHeight="true" outlineLevel="0" collapsed="false">
      <c r="A65" s="1"/>
      <c r="B65" s="1" t="s">
        <v>218</v>
      </c>
      <c r="C65" s="28" t="n">
        <f aca="false">IF('Customer inputs'!$C$55=1,'Customer inputs'!$C$39*'Customer inputs'!$C$40*'Customer inputs'!$C$61*'Customer inputs'!$C$61,"")</f>
        <v>1.8580608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customFormat="false" ht="23" hidden="false" customHeight="true" outlineLevel="0" collapsed="false">
      <c r="A66" s="1"/>
      <c r="B66" s="1" t="s">
        <v>18</v>
      </c>
      <c r="C66" s="28" t="n">
        <f aca="false">IF('Customer inputs'!$C$55=1,'Customer inputs'!$C$13*'Customer inputs'!$C$62,"")</f>
        <v>929.0304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customFormat="false" ht="23" hidden="false" customHeight="true" outlineLevel="0" collapsed="false">
      <c r="A67" s="1"/>
      <c r="B67" s="1" t="s">
        <v>20</v>
      </c>
      <c r="C67" s="28" t="n">
        <f aca="false">IF('Customer inputs'!$C$55=1,'Customer inputs'!$C$13*'Customer inputs'!$C$12*'Customer inputs'!$C$63,"")</f>
        <v>3716.1216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customFormat="false" ht="23" hidden="false" customHeight="true" outlineLevel="0" collapsed="false">
      <c r="A68" s="1"/>
      <c r="B68" s="1" t="s">
        <v>219</v>
      </c>
      <c r="C68" s="28" t="n">
        <f aca="false">IF('Customer inputs'!$C$55=1,'Customer inputs'!$C$67*'Customer inputs'!$C$14,"")</f>
        <v>3716.1216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customFormat="false" ht="23" hidden="false" customHeight="true" outlineLevel="0" collapsed="false">
      <c r="A69" s="1"/>
      <c r="B69" s="1" t="s">
        <v>220</v>
      </c>
      <c r="C69" s="28" t="n">
        <f aca="false">IF('Customer inputs'!$C$55=1,'Customer inputs'!$C$68*(1+'Customer inputs'!$C$43),"")</f>
        <v>3716.1216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customFormat="false" ht="23" hidden="false" customHeight="true" outlineLevel="0" collapsed="false">
      <c r="A70" s="1"/>
      <c r="B70" s="1" t="s">
        <v>221</v>
      </c>
      <c r="C70" s="28" t="n">
        <f aca="false">IF('Customer inputs'!$C$55=1,MAX(0,'Customer inputs'!$C$15-'Customer inputs'!$C$16)*'Customer inputs'!$C$41*'Customer inputs'!$C$65*'Customer inputs'!$C$42,"")</f>
        <v>743.22432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customFormat="false" ht="23" hidden="false" customHeight="true" outlineLevel="0" collapsed="false">
      <c r="A71" s="1"/>
      <c r="B71" s="1" t="s">
        <v>21</v>
      </c>
      <c r="C71" s="28" t="n">
        <f aca="false">IF('Customer inputs'!$C$55=1,MAX(0,'Customer inputs'!$C$69-'Customer inputs'!$C$70),"")</f>
        <v>2972.89728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customFormat="false" ht="23" hidden="false" customHeight="true" outlineLevel="0" collapsed="false">
      <c r="A72" s="1"/>
      <c r="B72" s="1" t="s">
        <v>222</v>
      </c>
      <c r="C72" s="28" t="n">
        <f aca="false">IF('Customer inputs'!$C$55=1,'Customer inputs'!$C$66-'Customer inputs'!$C$15*'Customer inputs'!$C$64,"")</f>
        <v>743.22432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customFormat="false" ht="23" hidden="false" customHeight="true" outlineLevel="0" collapsed="false">
      <c r="A73" s="1"/>
      <c r="B73" s="1" t="s">
        <v>123</v>
      </c>
      <c r="C73" s="28" t="n">
        <f aca="false">IF('Customer inputs'!$C$55=1,IF('Customer inputs'!$C$44="Before and after",'Customer inputs'!$C$45-'Customer inputs'!$C$46,'Customer inputs'!$C$21),"")</f>
        <v>30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customFormat="false" ht="23" hidden="false" customHeight="true" outlineLevel="0" collapsed="false">
      <c r="A74" s="1"/>
      <c r="B74" s="1" t="s">
        <v>223</v>
      </c>
      <c r="C74" s="28" t="n">
        <f aca="false">IF('Customer inputs'!$C$55=1,'Customer inputs'!$C$20*'Customer inputs'!$C$73*'Customer inputs'!$C$23/60,"")</f>
        <v>100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customFormat="false" ht="23" hidden="false" customHeight="true" outlineLevel="0" collapsed="false">
      <c r="A75" s="1"/>
      <c r="B75" s="1" t="s">
        <v>41</v>
      </c>
      <c r="C75" s="28" t="n">
        <f aca="false">IF('Customer inputs'!$C$55=1,'Customer inputs'!$C$74*'Customer inputs'!$C$22,"")</f>
        <v>26000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customFormat="false" ht="23" hidden="false" customHeight="true" outlineLevel="0" collapsed="false">
      <c r="A76" s="1"/>
      <c r="B76" s="1" t="s">
        <v>43</v>
      </c>
      <c r="C76" s="28" t="str">
        <f aca="false">IF('Customer inputs'!$C$55=1,IF(ISNUMBER('Customer inputs'!$C$25),'Customer inputs'!$C$75*'Customer inputs'!$C$25,""),"")</f>
        <v/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customFormat="false" ht="23" hidden="false" customHeight="true" outlineLevel="0" collapsed="false">
      <c r="A77" s="1"/>
      <c r="B77" s="1" t="s">
        <v>45</v>
      </c>
      <c r="C77" s="28" t="n">
        <f aca="false">IF('Customer inputs'!$C$55=1,IF('Customer inputs'!$C$26=0,0,IF(ISNUMBER('Customer inputs'!$C$76),'Customer inputs'!$C$76*'Customer inputs'!$C$26,"")),"")</f>
        <v>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customFormat="false" ht="23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customFormat="false" ht="23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customFormat="false" ht="23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customFormat="false" ht="23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customFormat="false" ht="23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customFormat="false" ht="23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customFormat="false" ht="23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customFormat="false" ht="23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customFormat="false" ht="23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customFormat="false" ht="23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customFormat="false" ht="23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customFormat="false" ht="23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customFormat="false" ht="23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customFormat="false" ht="23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customFormat="false" ht="23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customFormat="false" ht="23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customFormat="false" ht="23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customFormat="false" ht="23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customFormat="false" ht="23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customFormat="false" ht="23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customFormat="false" ht="23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customFormat="false" ht="23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customFormat="false" ht="23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customFormat="false" ht="23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customFormat="false" ht="23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customFormat="false" ht="23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customFormat="false" ht="23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customFormat="false" ht="23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customFormat="false" ht="23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customFormat="false" ht="23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customFormat="false" ht="23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customFormat="false" ht="23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customFormat="false" ht="23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customFormat="false" ht="23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customFormat="false" ht="23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customFormat="false" ht="23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customFormat="false" ht="23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customFormat="false" ht="23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customFormat="false" ht="23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customFormat="false" ht="23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customFormat="false" ht="23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customFormat="false" ht="23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customFormat="false" ht="23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customFormat="false" ht="23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customFormat="false" ht="23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customFormat="false" ht="23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customFormat="false" ht="23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customFormat="false" ht="23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customFormat="false" ht="23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customFormat="false" ht="23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customFormat="false" ht="23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customFormat="false" ht="23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customFormat="false" ht="23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customFormat="false" ht="23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customFormat="false" ht="23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customFormat="false" ht="23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customFormat="false" ht="23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customFormat="false" ht="23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customFormat="false" ht="23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customFormat="false" ht="23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customFormat="false" ht="23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customFormat="false" ht="23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customFormat="false" ht="23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customFormat="false" ht="23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customFormat="false" ht="23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customFormat="false" ht="23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customFormat="false" ht="23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customFormat="false" ht="23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customFormat="false" ht="23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customFormat="false" ht="23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customFormat="false" ht="23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customFormat="false" ht="23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customFormat="false" ht="23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customFormat="false" ht="23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customFormat="false" ht="23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customFormat="false" ht="23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customFormat="false" ht="23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customFormat="false" ht="23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customFormat="false" ht="23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customFormat="false" ht="23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customFormat="false" ht="23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customFormat="false" ht="23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customFormat="false" ht="23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customFormat="false" ht="23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customFormat="false" ht="23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customFormat="false" ht="23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customFormat="false" ht="23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customFormat="false" ht="23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customFormat="false" ht="23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customFormat="false" ht="23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customFormat="false" ht="23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customFormat="false" ht="23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customFormat="false" ht="23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customFormat="false" ht="23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customFormat="false" ht="23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customFormat="false" ht="23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customFormat="false" ht="23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customFormat="false" ht="23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customFormat="false" ht="23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customFormat="false" ht="23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</sheetData>
  <mergeCells count="1">
    <mergeCell ref="B32:G33"/>
  </mergeCells>
  <dataValidations count="21">
    <dataValidation allowBlank="false" errorStyle="stop" operator="between" showDropDown="false" showErrorMessage="false" showInputMessage="false" sqref="C7" type="list">
      <formula1>"m,mm,ft"</formula1>
      <formula2>0</formula2>
    </dataValidation>
    <dataValidation allowBlank="false" errorStyle="stop" operator="between" showDropDown="false" showErrorMessage="false" showInputMessage="false" sqref="C8" type="decimal">
      <formula1>0.001</formula1>
      <formula2>1000000000</formula2>
    </dataValidation>
    <dataValidation allowBlank="false" errorStyle="stop" operator="between" showDropDown="false" showErrorMessage="false" showInputMessage="false" sqref="C9" type="decimal">
      <formula1>0.001</formula1>
      <formula2>1000000000</formula2>
    </dataValidation>
    <dataValidation allowBlank="false" errorStyle="stop" operator="between" showDropDown="false" showErrorMessage="false" showInputMessage="false" sqref="C10" type="decimal">
      <formula1>0.001</formula1>
      <formula2>1000000000</formula2>
    </dataValidation>
    <dataValidation allowBlank="false" errorStyle="stop" operator="between" showDropDown="false" showErrorMessage="false" showInputMessage="false" sqref="C11" type="decimal">
      <formula1>0.001</formula1>
      <formula2>1000000000</formula2>
    </dataValidation>
    <dataValidation allowBlank="false" errorStyle="stop" operator="between" showDropDown="false" showErrorMessage="false" showInputMessage="false" sqref="C12" type="whole">
      <formula1>1</formula1>
      <formula2>1000000000</formula2>
    </dataValidation>
    <dataValidation allowBlank="false" errorStyle="stop" operator="between" showDropDown="false" showErrorMessage="false" showInputMessage="false" sqref="C13" type="whole">
      <formula1>1</formula1>
      <formula2>1000000000</formula2>
    </dataValidation>
    <dataValidation allowBlank="false" errorStyle="stop" operator="between" showDropDown="false" showErrorMessage="false" showInputMessage="false" sqref="C14" type="decimal">
      <formula1>0</formula1>
      <formula2>1</formula2>
    </dataValidation>
    <dataValidation allowBlank="false" errorStyle="stop" operator="between" showDropDown="false" showErrorMessage="false" showInputMessage="false" sqref="C15" type="whole">
      <formula1>0</formula1>
      <formula2>1000000000</formula2>
    </dataValidation>
    <dataValidation allowBlank="false" errorStyle="stop" operator="between" showDropDown="false" showErrorMessage="false" showInputMessage="false" sqref="C16" type="whole">
      <formula1>0</formula1>
      <formula2>1000000000</formula2>
    </dataValidation>
    <dataValidation allowBlank="false" errorStyle="stop" operator="between" showDropDown="false" showErrorMessage="false" showInputMessage="false" sqref="C18" type="decimal">
      <formula1>0</formula1>
      <formula2>1000000000</formula2>
    </dataValidation>
    <dataValidation allowBlank="false" errorStyle="stop" operator="between" showDropDown="false" showErrorMessage="false" showInputMessage="false" sqref="C19" type="decimal">
      <formula1>0.001</formula1>
      <formula2>1000000000</formula2>
    </dataValidation>
    <dataValidation allowBlank="false" errorStyle="stop" operator="between" showDropDown="false" showErrorMessage="false" showInputMessage="false" sqref="C20" type="whole">
      <formula1>0</formula1>
      <formula2>1000000000</formula2>
    </dataValidation>
    <dataValidation allowBlank="false" errorStyle="stop" operator="between" showDropDown="false" showErrorMessage="false" showInputMessage="false" sqref="C21" type="decimal">
      <formula1>0</formula1>
      <formula2>1000000000</formula2>
    </dataValidation>
    <dataValidation allowBlank="false" errorStyle="stop" operator="between" showDropDown="false" showErrorMessage="false" showInputMessage="false" sqref="C22" type="whole">
      <formula1>1</formula1>
      <formula2>366</formula2>
    </dataValidation>
    <dataValidation allowBlank="false" errorStyle="stop" operator="between" showDropDown="false" showErrorMessage="false" showInputMessage="false" sqref="C23" type="decimal">
      <formula1>0</formula1>
      <formula2>1</formula2>
    </dataValidation>
    <dataValidation allowBlank="false" errorStyle="stop" operator="between" showDropDown="false" showErrorMessage="false" showInputMessage="false" sqref="C25" type="decimal">
      <formula1>0</formula1>
      <formula2>1000000000</formula2>
    </dataValidation>
    <dataValidation allowBlank="false" errorStyle="stop" operator="between" showDropDown="false" showErrorMessage="false" showInputMessage="false" sqref="C26" type="decimal">
      <formula1>0</formula1>
      <formula2>1</formula2>
    </dataValidation>
    <dataValidation allowBlank="false" errorStyle="stop" operator="between" showDropDown="false" showErrorMessage="false" showInputMessage="false" sqref="C27" type="decimal">
      <formula1>0</formula1>
      <formula2>1000000000</formula2>
    </dataValidation>
    <dataValidation allowBlank="false" errorStyle="stop" operator="between" showDropDown="false" showErrorMessage="false" showInputMessage="false" sqref="C28" type="decimal">
      <formula1>0</formula1>
      <formula2>1</formula2>
    </dataValidation>
    <dataValidation allowBlank="false" errorStyle="stop" operator="between" showDropDown="false" showErrorMessage="false" showInputMessage="false" sqref="C29" type="decimal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1F3A"/>
    <pageSetUpPr fitToPage="false"/>
  </sheetPr>
  <dimension ref="A1:R2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6" min="3" style="0" width="18"/>
    <col collapsed="false" customWidth="true" hidden="false" outlineLevel="0" max="7" min="7" style="0" width="58"/>
    <col collapsed="false" customWidth="true" hidden="false" outlineLevel="0" max="8" min="8" style="0" width="59"/>
    <col collapsed="false" customWidth="true" hidden="false" outlineLevel="0" max="9" min="9" style="0" width="19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3" hidden="false" customHeight="true" outlineLevel="0" collapsed="false">
      <c r="A2" s="1"/>
      <c r="B2" s="2" t="s">
        <v>224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23" hidden="false" customHeight="true" outlineLevel="0" collapsed="false">
      <c r="A3" s="1"/>
      <c r="B3" s="3" t="s">
        <v>225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23" hidden="false" customHeight="true" outlineLevel="0" collapsed="false">
      <c r="A4" s="1"/>
      <c r="B4" s="4"/>
      <c r="C4" s="4"/>
      <c r="D4" s="4"/>
      <c r="E4" s="4"/>
      <c r="F4" s="4"/>
      <c r="G4" s="4"/>
      <c r="H4" s="4"/>
      <c r="I4" s="4"/>
      <c r="J4" s="1"/>
      <c r="K4" s="1"/>
      <c r="L4" s="1"/>
      <c r="M4" s="1"/>
      <c r="N4" s="1"/>
      <c r="O4" s="1"/>
      <c r="P4" s="1"/>
      <c r="Q4" s="1"/>
      <c r="R4" s="1"/>
    </row>
    <row r="5" customFormat="false" ht="32" hidden="false" customHeight="true" outlineLevel="0" collapsed="false">
      <c r="A5" s="1"/>
      <c r="B5" s="6" t="s">
        <v>70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226</v>
      </c>
      <c r="H5" s="6" t="s">
        <v>227</v>
      </c>
      <c r="I5" s="6" t="s">
        <v>74</v>
      </c>
      <c r="J5" s="1"/>
      <c r="K5" s="1"/>
      <c r="L5" s="1"/>
      <c r="M5" s="1"/>
      <c r="N5" s="1"/>
      <c r="O5" s="1"/>
      <c r="P5" s="1"/>
      <c r="Q5" s="1"/>
      <c r="R5" s="1"/>
    </row>
    <row r="6" customFormat="false" ht="23" hidden="false" customHeight="true" outlineLevel="0" collapsed="false">
      <c r="A6" s="1"/>
      <c r="B6" s="20" t="s">
        <v>228</v>
      </c>
      <c r="C6" s="21"/>
      <c r="D6" s="21"/>
      <c r="E6" s="21"/>
      <c r="F6" s="21"/>
      <c r="G6" s="21"/>
      <c r="H6" s="21"/>
      <c r="I6" s="21"/>
      <c r="J6" s="1"/>
      <c r="K6" s="1"/>
      <c r="L6" s="1"/>
      <c r="M6" s="1"/>
      <c r="N6" s="1"/>
      <c r="O6" s="1"/>
      <c r="P6" s="1"/>
      <c r="Q6" s="1"/>
      <c r="R6" s="1"/>
    </row>
    <row r="7" customFormat="false" ht="68" hidden="false" customHeight="true" outlineLevel="0" collapsed="false">
      <c r="A7" s="1"/>
      <c r="B7" s="7" t="s">
        <v>229</v>
      </c>
      <c r="C7" s="25" t="n">
        <v>16</v>
      </c>
      <c r="D7" s="25" t="n">
        <v>8</v>
      </c>
      <c r="E7" s="25" t="n">
        <v>10</v>
      </c>
      <c r="F7" s="7" t="s">
        <v>230</v>
      </c>
      <c r="G7" s="7" t="s">
        <v>231</v>
      </c>
      <c r="H7" s="7" t="s">
        <v>232</v>
      </c>
      <c r="I7" s="23" t="str">
        <f aca="false">HYPERLINK("#'Visual guide'!B128","See picture 5")</f>
        <v>See picture 5</v>
      </c>
      <c r="J7" s="1"/>
      <c r="K7" s="1"/>
      <c r="L7" s="1"/>
      <c r="M7" s="1"/>
      <c r="N7" s="1"/>
      <c r="O7" s="1"/>
      <c r="P7" s="1"/>
      <c r="Q7" s="1"/>
      <c r="R7" s="1"/>
    </row>
    <row r="8" customFormat="false" ht="68" hidden="false" customHeight="true" outlineLevel="0" collapsed="false">
      <c r="A8" s="1"/>
      <c r="B8" s="7" t="s">
        <v>233</v>
      </c>
      <c r="C8" s="25" t="n">
        <v>1</v>
      </c>
      <c r="D8" s="25" t="n">
        <v>1</v>
      </c>
      <c r="E8" s="25" t="n">
        <v>1</v>
      </c>
      <c r="F8" s="7" t="s">
        <v>234</v>
      </c>
      <c r="G8" s="7" t="s">
        <v>235</v>
      </c>
      <c r="H8" s="7" t="s">
        <v>236</v>
      </c>
      <c r="I8" s="23" t="str">
        <f aca="false">HYPERLINK("#'Visual guide'!B128","See picture 5")</f>
        <v>See picture 5</v>
      </c>
      <c r="J8" s="1"/>
      <c r="K8" s="1"/>
      <c r="L8" s="1"/>
      <c r="M8" s="1"/>
      <c r="N8" s="1"/>
      <c r="O8" s="1"/>
      <c r="P8" s="1"/>
      <c r="Q8" s="1"/>
      <c r="R8" s="1"/>
    </row>
    <row r="9" customFormat="false" ht="68" hidden="false" customHeight="true" outlineLevel="0" collapsed="false">
      <c r="A9" s="1"/>
      <c r="B9" s="7" t="s">
        <v>237</v>
      </c>
      <c r="C9" s="25" t="n">
        <v>10</v>
      </c>
      <c r="D9" s="25" t="n">
        <v>8</v>
      </c>
      <c r="E9" s="25" t="n">
        <v>10</v>
      </c>
      <c r="F9" s="7" t="s">
        <v>94</v>
      </c>
      <c r="G9" s="7" t="s">
        <v>238</v>
      </c>
      <c r="H9" s="7" t="s">
        <v>239</v>
      </c>
      <c r="I9" s="23" t="str">
        <f aca="false">HYPERLINK("#'Visual guide'!B157","See picture 6")</f>
        <v>See picture 6</v>
      </c>
      <c r="J9" s="1"/>
      <c r="K9" s="1"/>
      <c r="L9" s="1"/>
      <c r="M9" s="1"/>
      <c r="N9" s="1"/>
      <c r="O9" s="1"/>
      <c r="P9" s="1"/>
      <c r="Q9" s="1"/>
      <c r="R9" s="1"/>
    </row>
    <row r="10" customFormat="false" ht="68" hidden="false" customHeight="true" outlineLevel="0" collapsed="false">
      <c r="A10" s="1"/>
      <c r="B10" s="7" t="s">
        <v>240</v>
      </c>
      <c r="C10" s="25" t="n">
        <v>1</v>
      </c>
      <c r="D10" s="25" t="n">
        <v>1</v>
      </c>
      <c r="E10" s="25" t="n">
        <v>1</v>
      </c>
      <c r="F10" s="7" t="s">
        <v>241</v>
      </c>
      <c r="G10" s="7" t="s">
        <v>242</v>
      </c>
      <c r="H10" s="7" t="s">
        <v>243</v>
      </c>
      <c r="I10" s="23" t="str">
        <f aca="false">HYPERLINK("#'Visual guide'!B128","See picture 5")</f>
        <v>See picture 5</v>
      </c>
      <c r="J10" s="1"/>
      <c r="K10" s="1"/>
      <c r="L10" s="1"/>
      <c r="M10" s="1"/>
      <c r="N10" s="1"/>
      <c r="O10" s="1"/>
      <c r="P10" s="1"/>
      <c r="Q10" s="1"/>
      <c r="R10" s="1"/>
    </row>
    <row r="11" customFormat="false" ht="68" hidden="false" customHeight="true" outlineLevel="0" collapsed="false">
      <c r="A11" s="1"/>
      <c r="B11" s="7" t="s">
        <v>244</v>
      </c>
      <c r="C11" s="25" t="n">
        <v>0</v>
      </c>
      <c r="D11" s="25" t="n">
        <v>0</v>
      </c>
      <c r="E11" s="25" t="n">
        <v>0</v>
      </c>
      <c r="F11" s="7" t="s">
        <v>245</v>
      </c>
      <c r="G11" s="7" t="s">
        <v>246</v>
      </c>
      <c r="H11" s="7" t="s">
        <v>247</v>
      </c>
      <c r="I11" s="23" t="str">
        <f aca="false">HYPERLINK("#'Visual guide'!B215","See picture 8")</f>
        <v>See picture 8</v>
      </c>
      <c r="J11" s="1"/>
      <c r="K11" s="1"/>
      <c r="L11" s="1"/>
      <c r="M11" s="1"/>
      <c r="N11" s="1"/>
      <c r="O11" s="1"/>
      <c r="P11" s="1"/>
      <c r="Q11" s="1"/>
      <c r="R11" s="1"/>
    </row>
    <row r="12" customFormat="false" ht="68" hidden="false" customHeight="true" outlineLevel="0" collapsed="false">
      <c r="A12" s="1"/>
      <c r="B12" s="7" t="s">
        <v>248</v>
      </c>
      <c r="C12" s="26" t="n">
        <v>0.8</v>
      </c>
      <c r="D12" s="26" t="n">
        <v>0.8</v>
      </c>
      <c r="E12" s="26" t="n">
        <v>0.8</v>
      </c>
      <c r="F12" s="7" t="s">
        <v>52</v>
      </c>
      <c r="G12" s="7" t="s">
        <v>249</v>
      </c>
      <c r="H12" s="7" t="s">
        <v>250</v>
      </c>
      <c r="I12" s="23" t="str">
        <f aca="false">HYPERLINK("#'Visual guide'!B186","See picture 7")</f>
        <v>See picture 7</v>
      </c>
      <c r="J12" s="1"/>
      <c r="K12" s="1"/>
      <c r="L12" s="1"/>
      <c r="M12" s="1"/>
      <c r="N12" s="1"/>
      <c r="O12" s="1"/>
      <c r="P12" s="1"/>
      <c r="Q12" s="1"/>
      <c r="R12" s="1"/>
    </row>
    <row r="13" customFormat="false" ht="68" hidden="false" customHeight="true" outlineLevel="0" collapsed="false">
      <c r="A13" s="1"/>
      <c r="B13" s="7" t="s">
        <v>29</v>
      </c>
      <c r="C13" s="24" t="n">
        <v>20</v>
      </c>
      <c r="D13" s="24" t="n">
        <v>20</v>
      </c>
      <c r="E13" s="24" t="n">
        <v>20</v>
      </c>
      <c r="F13" s="7" t="s">
        <v>112</v>
      </c>
      <c r="G13" s="7" t="s">
        <v>251</v>
      </c>
      <c r="H13" s="7" t="s">
        <v>252</v>
      </c>
      <c r="I13" s="23" t="str">
        <f aca="false">HYPERLINK("#'Visual guide'!B244","See picture 9")</f>
        <v>See picture 9</v>
      </c>
      <c r="J13" s="1"/>
      <c r="K13" s="1"/>
      <c r="L13" s="1"/>
      <c r="M13" s="1"/>
      <c r="N13" s="1"/>
      <c r="O13" s="1"/>
      <c r="P13" s="1"/>
      <c r="Q13" s="1"/>
      <c r="R13" s="1"/>
    </row>
    <row r="14" customFormat="false" ht="23" hidden="false" customHeight="true" outlineLevel="0" collapsed="false">
      <c r="A14" s="1"/>
      <c r="B14" s="20" t="s">
        <v>253</v>
      </c>
      <c r="C14" s="21"/>
      <c r="D14" s="21"/>
      <c r="E14" s="21"/>
      <c r="F14" s="21"/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68" hidden="false" customHeight="true" outlineLevel="0" collapsed="false">
      <c r="A15" s="1"/>
      <c r="B15" s="7" t="s">
        <v>254</v>
      </c>
      <c r="C15" s="24" t="n">
        <v>5</v>
      </c>
      <c r="D15" s="24" t="n">
        <v>5</v>
      </c>
      <c r="E15" s="24" t="n">
        <v>5</v>
      </c>
      <c r="F15" s="7" t="s">
        <v>38</v>
      </c>
      <c r="G15" s="7" t="s">
        <v>255</v>
      </c>
      <c r="H15" s="7" t="s">
        <v>256</v>
      </c>
      <c r="I15" s="23" t="str">
        <f aca="false">HYPERLINK("#'Visual guide'!B157","See picture 6")</f>
        <v>See picture 6</v>
      </c>
      <c r="J15" s="1"/>
      <c r="K15" s="1"/>
      <c r="L15" s="1"/>
      <c r="M15" s="1"/>
      <c r="N15" s="1"/>
      <c r="O15" s="1"/>
      <c r="P15" s="1"/>
      <c r="Q15" s="1"/>
      <c r="R15" s="1"/>
    </row>
    <row r="16" customFormat="false" ht="23" hidden="false" customHeight="true" outlineLevel="0" collapsed="false">
      <c r="A16" s="1"/>
      <c r="B16" s="20" t="s">
        <v>228</v>
      </c>
      <c r="C16" s="21"/>
      <c r="D16" s="21"/>
      <c r="E16" s="21"/>
      <c r="F16" s="21"/>
      <c r="G16" s="21"/>
      <c r="H16" s="21"/>
      <c r="I16" s="21"/>
      <c r="J16" s="1"/>
      <c r="K16" s="1"/>
      <c r="L16" s="1"/>
      <c r="M16" s="1"/>
      <c r="N16" s="1"/>
      <c r="O16" s="1"/>
      <c r="P16" s="1"/>
      <c r="Q16" s="1"/>
      <c r="R16" s="1"/>
    </row>
    <row r="17" customFormat="false" ht="68" hidden="false" customHeight="true" outlineLevel="0" collapsed="false">
      <c r="A17" s="1"/>
      <c r="B17" s="7" t="s">
        <v>257</v>
      </c>
      <c r="C17" s="24" t="n">
        <v>1.2</v>
      </c>
      <c r="D17" s="24" t="n">
        <v>2.6</v>
      </c>
      <c r="E17" s="24" t="n">
        <v>1.2</v>
      </c>
      <c r="F17" s="7" t="s">
        <v>38</v>
      </c>
      <c r="G17" s="7" t="s">
        <v>258</v>
      </c>
      <c r="H17" s="7" t="s">
        <v>259</v>
      </c>
      <c r="I17" s="23" t="str">
        <f aca="false">HYPERLINK("#'Visual guide'!B99","See picture 4")</f>
        <v>See picture 4</v>
      </c>
      <c r="J17" s="1"/>
      <c r="K17" s="1"/>
      <c r="L17" s="1"/>
      <c r="M17" s="1"/>
      <c r="N17" s="1"/>
      <c r="O17" s="1"/>
      <c r="P17" s="1"/>
      <c r="Q17" s="1"/>
      <c r="R17" s="1"/>
    </row>
    <row r="18" customFormat="false" ht="68" hidden="false" customHeight="true" outlineLevel="0" collapsed="false">
      <c r="A18" s="1"/>
      <c r="B18" s="7" t="s">
        <v>260</v>
      </c>
      <c r="C18" s="24" t="n">
        <v>0.8</v>
      </c>
      <c r="D18" s="24" t="n">
        <v>1.1</v>
      </c>
      <c r="E18" s="24" t="n">
        <v>0.8</v>
      </c>
      <c r="F18" s="7" t="s">
        <v>38</v>
      </c>
      <c r="G18" s="7" t="s">
        <v>261</v>
      </c>
      <c r="H18" s="7" t="s">
        <v>262</v>
      </c>
      <c r="I18" s="23" t="str">
        <f aca="false">HYPERLINK("#'Visual guide'!B99","See picture 4")</f>
        <v>See picture 4</v>
      </c>
      <c r="J18" s="1"/>
      <c r="K18" s="1"/>
      <c r="L18" s="1"/>
      <c r="M18" s="1"/>
      <c r="N18" s="1"/>
      <c r="O18" s="1"/>
      <c r="P18" s="1"/>
      <c r="Q18" s="1"/>
      <c r="R18" s="1"/>
    </row>
    <row r="19" customFormat="false" ht="68" hidden="false" customHeight="true" outlineLevel="0" collapsed="false">
      <c r="A19" s="1"/>
      <c r="B19" s="7" t="s">
        <v>263</v>
      </c>
      <c r="C19" s="26" t="n">
        <v>0.9</v>
      </c>
      <c r="D19" s="26" t="n">
        <v>0.9</v>
      </c>
      <c r="E19" s="26" t="n">
        <v>0.9</v>
      </c>
      <c r="F19" s="7" t="s">
        <v>52</v>
      </c>
      <c r="G19" s="7" t="s">
        <v>264</v>
      </c>
      <c r="H19" s="7" t="s">
        <v>265</v>
      </c>
      <c r="I19" s="23" t="str">
        <f aca="false">HYPERLINK("#'Visual guide'!B186","See picture 7")</f>
        <v>See picture 7</v>
      </c>
      <c r="J19" s="1"/>
      <c r="K19" s="1"/>
      <c r="L19" s="1"/>
      <c r="M19" s="1"/>
      <c r="N19" s="1"/>
      <c r="O19" s="1"/>
      <c r="P19" s="1"/>
      <c r="Q19" s="1"/>
      <c r="R19" s="1"/>
    </row>
    <row r="20" customFormat="false" ht="23" hidden="false" customHeight="true" outlineLevel="0" collapsed="false">
      <c r="A20" s="1"/>
      <c r="B20" s="20" t="s">
        <v>266</v>
      </c>
      <c r="C20" s="21"/>
      <c r="D20" s="21"/>
      <c r="E20" s="21"/>
      <c r="F20" s="21"/>
      <c r="G20" s="21"/>
      <c r="H20" s="21"/>
      <c r="I20" s="2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68" hidden="false" customHeight="true" outlineLevel="0" collapsed="false">
      <c r="A21" s="1"/>
      <c r="B21" s="7" t="s">
        <v>48</v>
      </c>
      <c r="C21" s="22"/>
      <c r="D21" s="22"/>
      <c r="E21" s="22"/>
      <c r="F21" s="7" t="s">
        <v>44</v>
      </c>
      <c r="G21" s="7" t="s">
        <v>267</v>
      </c>
      <c r="H21" s="7" t="s">
        <v>268</v>
      </c>
      <c r="I21" s="23" t="str">
        <f aca="false">HYPERLINK("#'Visual guide'!B331","See picture 12")</f>
        <v>See picture 12</v>
      </c>
      <c r="J21" s="1"/>
      <c r="K21" s="1"/>
      <c r="L21" s="1"/>
      <c r="M21" s="1"/>
      <c r="N21" s="1"/>
      <c r="O21" s="1"/>
      <c r="P21" s="1"/>
      <c r="Q21" s="1"/>
      <c r="R21" s="1"/>
    </row>
    <row r="22" customFormat="false" ht="68" hidden="false" customHeight="true" outlineLevel="0" collapsed="false">
      <c r="A22" s="1"/>
      <c r="B22" s="7" t="s">
        <v>269</v>
      </c>
      <c r="C22" s="22"/>
      <c r="D22" s="22"/>
      <c r="E22" s="22"/>
      <c r="F22" s="7" t="s">
        <v>150</v>
      </c>
      <c r="G22" s="7" t="s">
        <v>270</v>
      </c>
      <c r="H22" s="7" t="s">
        <v>271</v>
      </c>
      <c r="I22" s="23" t="str">
        <f aca="false">HYPERLINK("#'Visual guide'!B331","See picture 12")</f>
        <v>See picture 12</v>
      </c>
      <c r="J22" s="1"/>
      <c r="K22" s="1"/>
      <c r="L22" s="1"/>
      <c r="M22" s="1"/>
      <c r="N22" s="1"/>
      <c r="O22" s="1"/>
      <c r="P22" s="1"/>
      <c r="Q22" s="1"/>
      <c r="R22" s="1"/>
    </row>
    <row r="23" customFormat="false" ht="23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customFormat="false" ht="23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customFormat="false" ht="32" hidden="false" customHeight="true" outlineLevel="0" collapsed="false">
      <c r="A25" s="1"/>
      <c r="B25" s="6" t="s">
        <v>272</v>
      </c>
      <c r="C25" s="6" t="s">
        <v>58</v>
      </c>
      <c r="D25" s="6" t="s">
        <v>59</v>
      </c>
      <c r="E25" s="6" t="s">
        <v>60</v>
      </c>
      <c r="F25" s="6" t="s">
        <v>7</v>
      </c>
      <c r="G25" s="6" t="s">
        <v>273</v>
      </c>
      <c r="H25" s="6" t="s">
        <v>274</v>
      </c>
      <c r="I25" s="6"/>
      <c r="J25" s="1"/>
      <c r="K25" s="1"/>
      <c r="L25" s="1"/>
      <c r="M25" s="1"/>
      <c r="N25" s="1"/>
      <c r="O25" s="1"/>
      <c r="P25" s="1"/>
      <c r="Q25" s="1"/>
      <c r="R25" s="1"/>
    </row>
    <row r="26" customFormat="false" ht="62" hidden="false" customHeight="true" outlineLevel="0" collapsed="false">
      <c r="A26" s="1"/>
      <c r="B26" s="7" t="s">
        <v>275</v>
      </c>
      <c r="C26" s="29" t="n">
        <v>1</v>
      </c>
      <c r="D26" s="29" t="n">
        <v>1</v>
      </c>
      <c r="E26" s="29" t="n">
        <v>1</v>
      </c>
      <c r="F26" s="7" t="s">
        <v>276</v>
      </c>
      <c r="G26" s="7" t="s">
        <v>277</v>
      </c>
      <c r="H26" s="7" t="s">
        <v>278</v>
      </c>
      <c r="I26" s="7"/>
      <c r="J26" s="1"/>
      <c r="K26" s="1"/>
      <c r="L26" s="1"/>
      <c r="M26" s="1"/>
      <c r="N26" s="1"/>
      <c r="O26" s="1"/>
      <c r="P26" s="1"/>
      <c r="Q26" s="1"/>
      <c r="R26" s="1"/>
    </row>
    <row r="27" customFormat="false" ht="62" hidden="false" customHeight="true" outlineLevel="0" collapsed="false">
      <c r="A27" s="1"/>
      <c r="B27" s="7" t="s">
        <v>279</v>
      </c>
      <c r="C27" s="29" t="n">
        <v>2</v>
      </c>
      <c r="D27" s="29" t="n">
        <v>2</v>
      </c>
      <c r="E27" s="29" t="n">
        <v>2</v>
      </c>
      <c r="F27" s="7" t="s">
        <v>280</v>
      </c>
      <c r="G27" s="7" t="s">
        <v>281</v>
      </c>
      <c r="H27" s="7" t="s">
        <v>282</v>
      </c>
      <c r="I27" s="7"/>
      <c r="J27" s="1"/>
      <c r="K27" s="1"/>
      <c r="L27" s="1"/>
      <c r="M27" s="1"/>
      <c r="N27" s="1"/>
      <c r="O27" s="1"/>
      <c r="P27" s="1"/>
      <c r="Q27" s="1"/>
      <c r="R27" s="1"/>
    </row>
    <row r="28" customFormat="false" ht="62" hidden="false" customHeight="true" outlineLevel="0" collapsed="false">
      <c r="A28" s="1"/>
      <c r="B28" s="7" t="s">
        <v>283</v>
      </c>
      <c r="C28" s="29" t="n">
        <v>1.4</v>
      </c>
      <c r="D28" s="29" t="n">
        <v>2.8</v>
      </c>
      <c r="E28" s="29" t="n">
        <v>1.4</v>
      </c>
      <c r="F28" s="7" t="s">
        <v>38</v>
      </c>
      <c r="G28" s="7" t="s">
        <v>284</v>
      </c>
      <c r="H28" s="7" t="s">
        <v>285</v>
      </c>
      <c r="I28" s="7"/>
      <c r="J28" s="1"/>
      <c r="K28" s="1"/>
      <c r="L28" s="1"/>
      <c r="M28" s="1"/>
      <c r="N28" s="1"/>
      <c r="O28" s="1"/>
      <c r="P28" s="1"/>
      <c r="Q28" s="1"/>
      <c r="R28" s="1"/>
    </row>
    <row r="29" customFormat="false" ht="62" hidden="false" customHeight="true" outlineLevel="0" collapsed="false">
      <c r="A29" s="1"/>
      <c r="B29" s="7" t="s">
        <v>286</v>
      </c>
      <c r="C29" s="29" t="n">
        <v>0.15</v>
      </c>
      <c r="D29" s="29" t="n">
        <v>0.15</v>
      </c>
      <c r="E29" s="29" t="n">
        <v>0.15</v>
      </c>
      <c r="F29" s="7" t="s">
        <v>38</v>
      </c>
      <c r="G29" s="7" t="s">
        <v>287</v>
      </c>
      <c r="H29" s="7" t="s">
        <v>288</v>
      </c>
      <c r="I29" s="7"/>
      <c r="J29" s="1"/>
      <c r="K29" s="1"/>
      <c r="L29" s="1"/>
      <c r="M29" s="1"/>
      <c r="N29" s="1"/>
      <c r="O29" s="1"/>
      <c r="P29" s="1"/>
      <c r="Q29" s="1"/>
      <c r="R29" s="1"/>
    </row>
    <row r="30" customFormat="false" ht="62" hidden="false" customHeight="true" outlineLevel="0" collapsed="false">
      <c r="A30" s="1"/>
      <c r="B30" s="7" t="s">
        <v>289</v>
      </c>
      <c r="C30" s="29" t="n">
        <v>0.9</v>
      </c>
      <c r="D30" s="29" t="n">
        <v>1.2</v>
      </c>
      <c r="E30" s="29" t="n">
        <v>0.9</v>
      </c>
      <c r="F30" s="7" t="s">
        <v>38</v>
      </c>
      <c r="G30" s="7" t="s">
        <v>290</v>
      </c>
      <c r="H30" s="7" t="s">
        <v>291</v>
      </c>
      <c r="I30" s="7"/>
      <c r="J30" s="1"/>
      <c r="K30" s="1"/>
      <c r="L30" s="1"/>
      <c r="M30" s="1"/>
      <c r="N30" s="1"/>
      <c r="O30" s="1"/>
      <c r="P30" s="1"/>
      <c r="Q30" s="1"/>
      <c r="R30" s="1"/>
    </row>
    <row r="31" customFormat="false" ht="62" hidden="false" customHeight="true" outlineLevel="0" collapsed="false">
      <c r="A31" s="1"/>
      <c r="B31" s="7" t="s">
        <v>292</v>
      </c>
      <c r="C31" s="29" t="n">
        <v>0.05</v>
      </c>
      <c r="D31" s="29" t="n">
        <v>0.05</v>
      </c>
      <c r="E31" s="29" t="n">
        <v>0.05</v>
      </c>
      <c r="F31" s="7" t="s">
        <v>38</v>
      </c>
      <c r="G31" s="7" t="s">
        <v>293</v>
      </c>
      <c r="H31" s="7" t="s">
        <v>294</v>
      </c>
      <c r="I31" s="7"/>
      <c r="J31" s="1"/>
      <c r="K31" s="1"/>
      <c r="L31" s="1"/>
      <c r="M31" s="1"/>
      <c r="N31" s="1"/>
      <c r="O31" s="1"/>
      <c r="P31" s="1"/>
      <c r="Q31" s="1"/>
      <c r="R31" s="1"/>
    </row>
    <row r="32" customFormat="false" ht="62" hidden="false" customHeight="true" outlineLevel="0" collapsed="false">
      <c r="A32" s="1"/>
      <c r="B32" s="7" t="s">
        <v>295</v>
      </c>
      <c r="C32" s="29" t="n">
        <v>1.4</v>
      </c>
      <c r="D32" s="29" t="n">
        <v>2.2</v>
      </c>
      <c r="E32" s="29" t="n">
        <v>1.6</v>
      </c>
      <c r="F32" s="7" t="s">
        <v>38</v>
      </c>
      <c r="G32" s="7" t="s">
        <v>296</v>
      </c>
      <c r="H32" s="7" t="s">
        <v>297</v>
      </c>
      <c r="I32" s="7"/>
      <c r="J32" s="1"/>
      <c r="K32" s="1"/>
      <c r="L32" s="1"/>
      <c r="M32" s="1"/>
      <c r="N32" s="1"/>
      <c r="O32" s="1"/>
      <c r="P32" s="1"/>
      <c r="Q32" s="1"/>
      <c r="R32" s="1"/>
    </row>
    <row r="33" customFormat="false" ht="62" hidden="false" customHeight="true" outlineLevel="0" collapsed="false">
      <c r="A33" s="1"/>
      <c r="B33" s="7" t="s">
        <v>298</v>
      </c>
      <c r="C33" s="29" t="n">
        <v>0.6</v>
      </c>
      <c r="D33" s="29" t="n">
        <v>0.6</v>
      </c>
      <c r="E33" s="29" t="n">
        <v>0.6</v>
      </c>
      <c r="F33" s="7" t="s">
        <v>38</v>
      </c>
      <c r="G33" s="7" t="s">
        <v>299</v>
      </c>
      <c r="H33" s="7" t="s">
        <v>300</v>
      </c>
      <c r="I33" s="7"/>
      <c r="J33" s="1"/>
      <c r="K33" s="1"/>
      <c r="L33" s="1"/>
      <c r="M33" s="1"/>
      <c r="N33" s="1"/>
      <c r="O33" s="1"/>
      <c r="P33" s="1"/>
      <c r="Q33" s="1"/>
      <c r="R33" s="1"/>
    </row>
    <row r="34" customFormat="false" ht="62" hidden="false" customHeight="true" outlineLevel="0" collapsed="false">
      <c r="A34" s="1"/>
      <c r="B34" s="7" t="s">
        <v>301</v>
      </c>
      <c r="C34" s="29" t="n">
        <v>0.5</v>
      </c>
      <c r="D34" s="29" t="n">
        <v>0.5</v>
      </c>
      <c r="E34" s="29" t="n">
        <v>0.5</v>
      </c>
      <c r="F34" s="7" t="s">
        <v>38</v>
      </c>
      <c r="G34" s="7" t="s">
        <v>302</v>
      </c>
      <c r="H34" s="7" t="s">
        <v>303</v>
      </c>
      <c r="I34" s="7"/>
      <c r="J34" s="1"/>
      <c r="K34" s="1"/>
      <c r="L34" s="1"/>
      <c r="M34" s="1"/>
      <c r="N34" s="1"/>
      <c r="O34" s="1"/>
      <c r="P34" s="1"/>
      <c r="Q34" s="1"/>
      <c r="R34" s="1"/>
    </row>
    <row r="35" customFormat="false" ht="62" hidden="false" customHeight="true" outlineLevel="0" collapsed="false">
      <c r="A35" s="1"/>
      <c r="B35" s="7" t="s">
        <v>304</v>
      </c>
      <c r="C35" s="29" t="n">
        <v>0.4</v>
      </c>
      <c r="D35" s="29" t="n">
        <v>0.5</v>
      </c>
      <c r="E35" s="29" t="n">
        <v>0.4</v>
      </c>
      <c r="F35" s="7" t="s">
        <v>38</v>
      </c>
      <c r="G35" s="7" t="s">
        <v>305</v>
      </c>
      <c r="H35" s="7" t="s">
        <v>306</v>
      </c>
      <c r="I35" s="7"/>
      <c r="J35" s="1"/>
      <c r="K35" s="1"/>
      <c r="L35" s="1"/>
      <c r="M35" s="1"/>
      <c r="N35" s="1"/>
      <c r="O35" s="1"/>
      <c r="P35" s="1"/>
      <c r="Q35" s="1"/>
      <c r="R35" s="1"/>
    </row>
    <row r="36" customFormat="false" ht="62" hidden="false" customHeight="true" outlineLevel="0" collapsed="false">
      <c r="A36" s="1"/>
      <c r="B36" s="7" t="s">
        <v>307</v>
      </c>
      <c r="C36" s="29" t="n">
        <v>0.3</v>
      </c>
      <c r="D36" s="29" t="n">
        <v>0.35</v>
      </c>
      <c r="E36" s="29" t="n">
        <v>0.3</v>
      </c>
      <c r="F36" s="7" t="s">
        <v>38</v>
      </c>
      <c r="G36" s="7" t="s">
        <v>308</v>
      </c>
      <c r="H36" s="7" t="s">
        <v>309</v>
      </c>
      <c r="I36" s="7"/>
      <c r="J36" s="1"/>
      <c r="K36" s="1"/>
      <c r="L36" s="1"/>
      <c r="M36" s="1"/>
      <c r="N36" s="1"/>
      <c r="O36" s="1"/>
      <c r="P36" s="1"/>
      <c r="Q36" s="1"/>
      <c r="R36" s="1"/>
    </row>
    <row r="37" customFormat="false" ht="62" hidden="false" customHeight="true" outlineLevel="0" collapsed="false">
      <c r="A37" s="1"/>
      <c r="B37" s="7" t="s">
        <v>310</v>
      </c>
      <c r="C37" s="29" t="n">
        <v>0.04</v>
      </c>
      <c r="D37" s="29" t="n">
        <v>0.04</v>
      </c>
      <c r="E37" s="29" t="n">
        <v>0.04</v>
      </c>
      <c r="F37" s="7" t="s">
        <v>38</v>
      </c>
      <c r="G37" s="7" t="s">
        <v>311</v>
      </c>
      <c r="H37" s="7" t="s">
        <v>312</v>
      </c>
      <c r="I37" s="7"/>
      <c r="J37" s="1"/>
      <c r="K37" s="1"/>
      <c r="L37" s="1"/>
      <c r="M37" s="1"/>
      <c r="N37" s="1"/>
      <c r="O37" s="1"/>
      <c r="P37" s="1"/>
      <c r="Q37" s="1"/>
      <c r="R37" s="1"/>
    </row>
    <row r="38" customFormat="false" ht="62" hidden="false" customHeight="true" outlineLevel="0" collapsed="false">
      <c r="A38" s="1"/>
      <c r="B38" s="7" t="s">
        <v>313</v>
      </c>
      <c r="C38" s="29" t="n">
        <v>0.4</v>
      </c>
      <c r="D38" s="29" t="n">
        <v>0.4</v>
      </c>
      <c r="E38" s="29" t="n">
        <v>0.4</v>
      </c>
      <c r="F38" s="7" t="s">
        <v>38</v>
      </c>
      <c r="G38" s="7" t="s">
        <v>314</v>
      </c>
      <c r="H38" s="7" t="s">
        <v>315</v>
      </c>
      <c r="I38" s="7"/>
      <c r="J38" s="1"/>
      <c r="K38" s="1"/>
      <c r="L38" s="1"/>
      <c r="M38" s="1"/>
      <c r="N38" s="1"/>
      <c r="O38" s="1"/>
      <c r="P38" s="1"/>
      <c r="Q38" s="1"/>
      <c r="R38" s="1"/>
    </row>
    <row r="39" customFormat="false" ht="62" hidden="false" customHeight="true" outlineLevel="0" collapsed="false">
      <c r="A39" s="1"/>
      <c r="B39" s="7" t="s">
        <v>316</v>
      </c>
      <c r="C39" s="29" t="n">
        <v>1.2</v>
      </c>
      <c r="D39" s="29" t="n">
        <v>2.6</v>
      </c>
      <c r="E39" s="29" t="n">
        <v>1.2</v>
      </c>
      <c r="F39" s="7" t="s">
        <v>38</v>
      </c>
      <c r="G39" s="7" t="s">
        <v>317</v>
      </c>
      <c r="H39" s="7" t="s">
        <v>318</v>
      </c>
      <c r="I39" s="7"/>
      <c r="J39" s="1"/>
      <c r="K39" s="1"/>
      <c r="L39" s="1"/>
      <c r="M39" s="1"/>
      <c r="N39" s="1"/>
      <c r="O39" s="1"/>
      <c r="P39" s="1"/>
      <c r="Q39" s="1"/>
      <c r="R39" s="1"/>
    </row>
    <row r="40" customFormat="false" ht="62" hidden="false" customHeight="true" outlineLevel="0" collapsed="false">
      <c r="A40" s="1"/>
      <c r="B40" s="7" t="s">
        <v>319</v>
      </c>
      <c r="C40" s="29" t="n">
        <v>0.8</v>
      </c>
      <c r="D40" s="29" t="n">
        <v>1.1</v>
      </c>
      <c r="E40" s="29" t="n">
        <v>0.8</v>
      </c>
      <c r="F40" s="7" t="s">
        <v>38</v>
      </c>
      <c r="G40" s="7" t="s">
        <v>320</v>
      </c>
      <c r="H40" s="7" t="s">
        <v>321</v>
      </c>
      <c r="I40" s="7"/>
      <c r="J40" s="1"/>
      <c r="K40" s="1"/>
      <c r="L40" s="1"/>
      <c r="M40" s="1"/>
      <c r="N40" s="1"/>
      <c r="O40" s="1"/>
      <c r="P40" s="1"/>
      <c r="Q40" s="1"/>
      <c r="R40" s="1"/>
    </row>
    <row r="41" customFormat="false" ht="62" hidden="false" customHeight="true" outlineLevel="0" collapsed="false">
      <c r="A41" s="1"/>
      <c r="B41" s="7" t="s">
        <v>322</v>
      </c>
      <c r="C41" s="29" t="n">
        <v>0.05</v>
      </c>
      <c r="D41" s="29" t="n">
        <v>0.05</v>
      </c>
      <c r="E41" s="29" t="n">
        <v>0.05</v>
      </c>
      <c r="F41" s="7" t="s">
        <v>38</v>
      </c>
      <c r="G41" s="7" t="s">
        <v>323</v>
      </c>
      <c r="H41" s="7" t="s">
        <v>324</v>
      </c>
      <c r="I41" s="7"/>
      <c r="J41" s="1"/>
      <c r="K41" s="1"/>
      <c r="L41" s="1"/>
      <c r="M41" s="1"/>
      <c r="N41" s="1"/>
      <c r="O41" s="1"/>
      <c r="P41" s="1"/>
      <c r="Q41" s="1"/>
      <c r="R41" s="1"/>
    </row>
    <row r="42" customFormat="false" ht="62" hidden="false" customHeight="true" outlineLevel="0" collapsed="false">
      <c r="A42" s="1"/>
      <c r="B42" s="7" t="s">
        <v>325</v>
      </c>
      <c r="C42" s="29" t="n">
        <v>0.05</v>
      </c>
      <c r="D42" s="29" t="n">
        <v>0.05</v>
      </c>
      <c r="E42" s="29" t="n">
        <v>0.05</v>
      </c>
      <c r="F42" s="7" t="s">
        <v>38</v>
      </c>
      <c r="G42" s="7" t="s">
        <v>326</v>
      </c>
      <c r="H42" s="7" t="s">
        <v>327</v>
      </c>
      <c r="I42" s="7"/>
      <c r="J42" s="1"/>
      <c r="K42" s="1"/>
      <c r="L42" s="1"/>
      <c r="M42" s="1"/>
      <c r="N42" s="1"/>
      <c r="O42" s="1"/>
      <c r="P42" s="1"/>
      <c r="Q42" s="1"/>
      <c r="R42" s="1"/>
    </row>
    <row r="43" customFormat="false" ht="62" hidden="false" customHeight="true" outlineLevel="0" collapsed="false">
      <c r="A43" s="1"/>
      <c r="B43" s="7" t="s">
        <v>328</v>
      </c>
      <c r="C43" s="29" t="s">
        <v>329</v>
      </c>
      <c r="D43" s="29" t="s">
        <v>329</v>
      </c>
      <c r="E43" s="29" t="s">
        <v>329</v>
      </c>
      <c r="F43" s="7" t="s">
        <v>182</v>
      </c>
      <c r="G43" s="7" t="s">
        <v>330</v>
      </c>
      <c r="H43" s="7" t="s">
        <v>331</v>
      </c>
      <c r="I43" s="7"/>
      <c r="J43" s="1"/>
      <c r="K43" s="1"/>
      <c r="L43" s="1"/>
      <c r="M43" s="1"/>
      <c r="N43" s="1"/>
      <c r="O43" s="1"/>
      <c r="P43" s="1"/>
      <c r="Q43" s="1"/>
      <c r="R43" s="1"/>
    </row>
    <row r="44" customFormat="false" ht="62" hidden="false" customHeight="true" outlineLevel="0" collapsed="false">
      <c r="A44" s="1"/>
      <c r="B44" s="7" t="s">
        <v>332</v>
      </c>
      <c r="C44" s="29"/>
      <c r="D44" s="29"/>
      <c r="E44" s="29"/>
      <c r="F44" s="7" t="s">
        <v>241</v>
      </c>
      <c r="G44" s="7" t="s">
        <v>333</v>
      </c>
      <c r="H44" s="7" t="s">
        <v>334</v>
      </c>
      <c r="I44" s="7"/>
      <c r="J44" s="1"/>
      <c r="K44" s="1"/>
      <c r="L44" s="1"/>
      <c r="M44" s="1"/>
      <c r="N44" s="1"/>
      <c r="O44" s="1"/>
      <c r="P44" s="1"/>
      <c r="Q44" s="1"/>
      <c r="R44" s="1"/>
    </row>
    <row r="45" customFormat="false" ht="62" hidden="false" customHeight="true" outlineLevel="0" collapsed="false">
      <c r="A45" s="1"/>
      <c r="B45" s="7" t="s">
        <v>335</v>
      </c>
      <c r="C45" s="29"/>
      <c r="D45" s="29"/>
      <c r="E45" s="29"/>
      <c r="F45" s="7" t="s">
        <v>336</v>
      </c>
      <c r="G45" s="7" t="s">
        <v>337</v>
      </c>
      <c r="H45" s="7" t="s">
        <v>338</v>
      </c>
      <c r="I45" s="7"/>
      <c r="J45" s="1"/>
      <c r="K45" s="1"/>
      <c r="L45" s="1"/>
      <c r="M45" s="1"/>
      <c r="N45" s="1"/>
      <c r="O45" s="1"/>
      <c r="P45" s="1"/>
      <c r="Q45" s="1"/>
      <c r="R45" s="1"/>
    </row>
    <row r="46" customFormat="false" ht="62" hidden="false" customHeight="true" outlineLevel="0" collapsed="false">
      <c r="A46" s="1"/>
      <c r="B46" s="7" t="s">
        <v>339</v>
      </c>
      <c r="C46" s="29"/>
      <c r="D46" s="29"/>
      <c r="E46" s="29"/>
      <c r="F46" s="7" t="s">
        <v>340</v>
      </c>
      <c r="G46" s="7" t="s">
        <v>341</v>
      </c>
      <c r="H46" s="7" t="s">
        <v>342</v>
      </c>
      <c r="I46" s="7"/>
      <c r="J46" s="1"/>
      <c r="K46" s="1"/>
      <c r="L46" s="1"/>
      <c r="M46" s="1"/>
      <c r="N46" s="1"/>
      <c r="O46" s="1"/>
      <c r="P46" s="1"/>
      <c r="Q46" s="1"/>
      <c r="R46" s="1"/>
    </row>
    <row r="47" customFormat="false" ht="62" hidden="false" customHeight="true" outlineLevel="0" collapsed="false">
      <c r="A47" s="1"/>
      <c r="B47" s="7" t="s">
        <v>343</v>
      </c>
      <c r="C47" s="29" t="n">
        <v>0.85</v>
      </c>
      <c r="D47" s="29" t="n">
        <v>0.85</v>
      </c>
      <c r="E47" s="29" t="n">
        <v>0.85</v>
      </c>
      <c r="F47" s="7" t="s">
        <v>52</v>
      </c>
      <c r="G47" s="7" t="s">
        <v>344</v>
      </c>
      <c r="H47" s="7" t="s">
        <v>345</v>
      </c>
      <c r="I47" s="7"/>
      <c r="J47" s="1"/>
      <c r="K47" s="1"/>
      <c r="L47" s="1"/>
      <c r="M47" s="1"/>
      <c r="N47" s="1"/>
      <c r="O47" s="1"/>
      <c r="P47" s="1"/>
      <c r="Q47" s="1"/>
      <c r="R47" s="1"/>
    </row>
    <row r="48" customFormat="false" ht="62" hidden="false" customHeight="true" outlineLevel="0" collapsed="false">
      <c r="A48" s="1"/>
      <c r="B48" s="7" t="s">
        <v>346</v>
      </c>
      <c r="C48" s="29"/>
      <c r="D48" s="29"/>
      <c r="E48" s="29"/>
      <c r="F48" s="7" t="s">
        <v>347</v>
      </c>
      <c r="G48" s="7" t="s">
        <v>348</v>
      </c>
      <c r="H48" s="7" t="s">
        <v>349</v>
      </c>
      <c r="I48" s="7"/>
      <c r="J48" s="1"/>
      <c r="K48" s="1"/>
      <c r="L48" s="1"/>
      <c r="M48" s="1"/>
      <c r="N48" s="1"/>
      <c r="O48" s="1"/>
      <c r="P48" s="1"/>
      <c r="Q48" s="1"/>
      <c r="R48" s="1"/>
    </row>
    <row r="49" customFormat="false" ht="62" hidden="false" customHeight="true" outlineLevel="0" collapsed="false">
      <c r="A49" s="1"/>
      <c r="B49" s="7" t="s">
        <v>350</v>
      </c>
      <c r="C49" s="29"/>
      <c r="D49" s="29"/>
      <c r="E49" s="29"/>
      <c r="F49" s="7" t="s">
        <v>347</v>
      </c>
      <c r="G49" s="7" t="s">
        <v>351</v>
      </c>
      <c r="H49" s="7" t="s">
        <v>352</v>
      </c>
      <c r="I49" s="7"/>
      <c r="J49" s="1"/>
      <c r="K49" s="1"/>
      <c r="L49" s="1"/>
      <c r="M49" s="1"/>
      <c r="N49" s="1"/>
      <c r="O49" s="1"/>
      <c r="P49" s="1"/>
      <c r="Q49" s="1"/>
      <c r="R49" s="1"/>
    </row>
    <row r="50" customFormat="false" ht="23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customFormat="false" ht="23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customFormat="false" ht="23" hidden="false" customHeight="true" outlineLevel="0" collapsed="false">
      <c r="A52" s="1"/>
      <c r="B52" s="1" t="s">
        <v>353</v>
      </c>
      <c r="C52" s="1" t="n">
        <f aca="false">IF(AND('Customer inputs'!$C$55=1,AND(IF(ISNUMBER('ASRS options'!$C$7),AND('ASRS options'!$C$7&gt;=1,MOD('ASRS options'!$C$7,1)=0),FALSE()),IF(ISNUMBER('ASRS options'!$C$8),AND('ASRS options'!$C$8&gt;=1,MOD('ASRS options'!$C$8,1)=0),FALSE()),IF(ISNUMBER('ASRS options'!$C$26),AND('ASRS options'!$C$26&gt;=1,MOD('ASRS options'!$C$26,1)=0),FALSE()),IF(ISNUMBER('ASRS options'!$C$27),AND('ASRS options'!$C$27&gt;=1,'ASRS options'!$C$27&lt;=2,MOD('ASRS options'!$C$27,1)=0),FALSE()),IF(ISNUMBER('ASRS options'!$C$9),AND('ASRS options'!$C$9&gt;=1,MOD('ASRS options'!$C$9,1)=0),FALSE()),IF(ISNUMBER('ASRS options'!$C$10),AND('ASRS options'!$C$10&gt;=1,MOD('ASRS options'!$C$10,1)=0),FALSE()),IF(ISNUMBER('ASRS options'!$C$11),AND('ASRS options'!$C$11&gt;=0,MOD('ASRS options'!$C$11,1)=0),FALSE()),IF(ISNUMBER('ASRS options'!$C$12),AND('ASRS options'!$C$12&gt;=0.01,'ASRS options'!$C$12&lt;=1),FALSE()),IF(ISNUMBER('ASRS options'!$C$28),AND('ASRS options'!$C$28&gt;=0.001),FALSE()),IF(ISNUMBER('ASRS options'!$C$29),AND('ASRS options'!$C$29&gt;=0),FALSE()),IF(ISNUMBER('ASRS options'!$C$30),AND('ASRS options'!$C$30&gt;=0.001),FALSE()),IF(ISNUMBER('ASRS options'!$C$31),AND('ASRS options'!$C$31&gt;=0),FALSE()),IF(ISNUMBER('ASRS options'!$C$32),AND('ASRS options'!$C$32&gt;=0.001),FALSE()),IF(ISNUMBER('ASRS options'!$C$33),AND('ASRS options'!$C$33&gt;=0),FALSE()),IF(ISNUMBER('ASRS options'!$C$13),AND('ASRS options'!$C$13&gt;=0),FALSE()),IF(ISNUMBER('ASRS options'!$C$15),AND('ASRS options'!$C$15&gt;=0.001),FALSE()),IF(ISNUMBER('ASRS options'!$C$34),AND('ASRS options'!$C$34&gt;=0),FALSE()),IF(ISNUMBER('ASRS options'!$C$35),AND('ASRS options'!$C$35&gt;=0.001),FALSE()),IF(ISNUMBER('ASRS options'!$C$36),AND('ASRS options'!$C$36&gt;=0.001),FALSE()),IF(ISNUMBER('ASRS options'!$C$37),AND('ASRS options'!$C$37&gt;=0),FALSE()),IF(ISNUMBER('ASRS options'!$C$38),AND('ASRS options'!$C$38&gt;=0),FALSE()),IF(ISNUMBER('ASRS options'!$C$39),AND('ASRS options'!$C$39&gt;=0.001),FALSE()),IF(ISNUMBER('ASRS options'!$C$40),AND('ASRS options'!$C$40&gt;=0.001),FALSE()),IF(ISNUMBER('ASRS options'!$C$17),AND('ASRS options'!$C$17&gt;=0.001),FALSE()),IF(ISNUMBER('ASRS options'!$C$18),AND('ASRS options'!$C$18&gt;=0.001),FALSE()),IF(ISNUMBER('ASRS options'!$C$19),AND('ASRS options'!$C$19&gt;=0.01,'ASRS options'!$C$19&lt;=1),FALSE()),IF(ISNUMBER('ASRS options'!$C$41),AND('ASRS options'!$C$41&gt;=0),FALSE()),IF(ISNUMBER('ASRS options'!$C$42),AND('ASRS options'!$C$42&gt;=0),FALSE()),OR('ASRS options'!$C$43="Area estimate",'ASRS options'!$C$43="Measured trays"),IF('ASRS options'!$C$44="",TRUE(),IF(ISNUMBER('ASRS options'!$C$44),AND('ASRS options'!$C$44&gt;=0,MOD('ASRS options'!$C$44,1)=0),FALSE())),IF('ASRS options'!$C$45="",TRUE(),IF(ISNUMBER('ASRS options'!$C$45),AND('ASRS options'!$C$45&gt;=0),FALSE())),IF('ASRS options'!$C$46="",TRUE(),IF(ISNUMBER('ASRS options'!$C$46),AND('ASRS options'!$C$46&gt;=0.001),FALSE())),IF(ISNUMBER('ASRS options'!$C$47),AND('ASRS options'!$C$47&gt;=0.01,'ASRS options'!$C$47&lt;=1),FALSE()),IF('ASRS options'!$C$48="",TRUE(),IF(ISNUMBER('ASRS options'!$C$48),AND('ASRS options'!$C$48&gt;=0),FALSE())),IF('ASRS options'!$C$49="",TRUE(),IF(ISNUMBER('ASRS options'!$C$49),AND('ASRS options'!$C$49&gt;=0.001),FALSE())),IF('ASRS options'!$C$21="",TRUE(),IF(ISNUMBER('ASRS options'!$C$21),AND('ASRS options'!$C$21&gt;=0),FALSE())),IF('ASRS options'!$C$22="",TRUE(),IF(ISNUMBER('ASRS options'!$C$22),AND('ASRS options'!$C$22&gt;=0),FALSE())))),1,0)</f>
        <v>1</v>
      </c>
      <c r="D52" s="1" t="n">
        <f aca="false">IF(AND('Customer inputs'!$C$55=1,AND(IF(ISNUMBER('ASRS options'!$D$7),AND('ASRS options'!$D$7&gt;=1,MOD('ASRS options'!$D$7,1)=0),FALSE()),IF(ISNUMBER('ASRS options'!$D$8),AND('ASRS options'!$D$8&gt;=1,MOD('ASRS options'!$D$8,1)=0),FALSE()),IF(ISNUMBER('ASRS options'!$D$26),AND('ASRS options'!$D$26&gt;=1,MOD('ASRS options'!$D$26,1)=0),FALSE()),IF(ISNUMBER('ASRS options'!$D$27),AND('ASRS options'!$D$27&gt;=1,'ASRS options'!$D$27&lt;=2,MOD('ASRS options'!$D$27,1)=0),FALSE()),IF(ISNUMBER('ASRS options'!$D$9),AND('ASRS options'!$D$9&gt;=1,MOD('ASRS options'!$D$9,1)=0),FALSE()),IF(ISNUMBER('ASRS options'!$D$10),AND('ASRS options'!$D$10&gt;=1,MOD('ASRS options'!$D$10,1)=0),FALSE()),IF(ISNUMBER('ASRS options'!$D$11),AND('ASRS options'!$D$11&gt;=0,MOD('ASRS options'!$D$11,1)=0),FALSE()),IF(ISNUMBER('ASRS options'!$D$12),AND('ASRS options'!$D$12&gt;=0.01,'ASRS options'!$D$12&lt;=1),FALSE()),IF(ISNUMBER('ASRS options'!$D$28),AND('ASRS options'!$D$28&gt;=0.001),FALSE()),IF(ISNUMBER('ASRS options'!$D$29),AND('ASRS options'!$D$29&gt;=0),FALSE()),IF(ISNUMBER('ASRS options'!$D$30),AND('ASRS options'!$D$30&gt;=0.001),FALSE()),IF(ISNUMBER('ASRS options'!$D$31),AND('ASRS options'!$D$31&gt;=0),FALSE()),IF(ISNUMBER('ASRS options'!$D$32),AND('ASRS options'!$D$32&gt;=0.001),FALSE()),IF(ISNUMBER('ASRS options'!$D$33),AND('ASRS options'!$D$33&gt;=0),FALSE()),IF(ISNUMBER('ASRS options'!$D$13),AND('ASRS options'!$D$13&gt;=0),FALSE()),IF(ISNUMBER('ASRS options'!$D$15),AND('ASRS options'!$D$15&gt;=0.001),FALSE()),IF(ISNUMBER('ASRS options'!$D$34),AND('ASRS options'!$D$34&gt;=0),FALSE()),IF(ISNUMBER('ASRS options'!$D$35),AND('ASRS options'!$D$35&gt;=0.001),FALSE()),IF(ISNUMBER('ASRS options'!$D$36),AND('ASRS options'!$D$36&gt;=0.001),FALSE()),IF(ISNUMBER('ASRS options'!$D$37),AND('ASRS options'!$D$37&gt;=0),FALSE()),IF(ISNUMBER('ASRS options'!$D$38),AND('ASRS options'!$D$38&gt;=0),FALSE()),IF(ISNUMBER('ASRS options'!$D$39),AND('ASRS options'!$D$39&gt;=0.001),FALSE()),IF(ISNUMBER('ASRS options'!$D$40),AND('ASRS options'!$D$40&gt;=0.001),FALSE()),IF(ISNUMBER('ASRS options'!$D$17),AND('ASRS options'!$D$17&gt;=0.001),FALSE()),IF(ISNUMBER('ASRS options'!$D$18),AND('ASRS options'!$D$18&gt;=0.001),FALSE()),IF(ISNUMBER('ASRS options'!$D$19),AND('ASRS options'!$D$19&gt;=0.01,'ASRS options'!$D$19&lt;=1),FALSE()),IF(ISNUMBER('ASRS options'!$D$41),AND('ASRS options'!$D$41&gt;=0),FALSE()),IF(ISNUMBER('ASRS options'!$D$42),AND('ASRS options'!$D$42&gt;=0),FALSE()),OR('ASRS options'!$D$43="Area estimate",'ASRS options'!$D$43="Measured trays"),IF('ASRS options'!$D$44="",TRUE(),IF(ISNUMBER('ASRS options'!$D$44),AND('ASRS options'!$D$44&gt;=0,MOD('ASRS options'!$D$44,1)=0),FALSE())),IF('ASRS options'!$D$45="",TRUE(),IF(ISNUMBER('ASRS options'!$D$45),AND('ASRS options'!$D$45&gt;=0),FALSE())),IF('ASRS options'!$D$46="",TRUE(),IF(ISNUMBER('ASRS options'!$D$46),AND('ASRS options'!$D$46&gt;=0.001),FALSE())),IF(ISNUMBER('ASRS options'!$D$47),AND('ASRS options'!$D$47&gt;=0.01,'ASRS options'!$D$47&lt;=1),FALSE()),IF('ASRS options'!$D$48="",TRUE(),IF(ISNUMBER('ASRS options'!$D$48),AND('ASRS options'!$D$48&gt;=0),FALSE())),IF('ASRS options'!$D$49="",TRUE(),IF(ISNUMBER('ASRS options'!$D$49),AND('ASRS options'!$D$49&gt;=0.001),FALSE())),IF('ASRS options'!$D$21="",TRUE(),IF(ISNUMBER('ASRS options'!$D$21),AND('ASRS options'!$D$21&gt;=0),FALSE())),IF('ASRS options'!$D$22="",TRUE(),IF(ISNUMBER('ASRS options'!$D$22),AND('ASRS options'!$D$22&gt;=0),FALSE())))),1,0)</f>
        <v>1</v>
      </c>
      <c r="E52" s="1" t="n">
        <f aca="false">IF(AND('Customer inputs'!$C$55=1,AND(IF(ISNUMBER('ASRS options'!$E$7),AND('ASRS options'!$E$7&gt;=1,MOD('ASRS options'!$E$7,1)=0),FALSE()),IF(ISNUMBER('ASRS options'!$E$8),AND('ASRS options'!$E$8&gt;=1,MOD('ASRS options'!$E$8,1)=0),FALSE()),IF(ISNUMBER('ASRS options'!$E$26),AND('ASRS options'!$E$26&gt;=1,MOD('ASRS options'!$E$26,1)=0),FALSE()),IF(ISNUMBER('ASRS options'!$E$27),AND('ASRS options'!$E$27&gt;=1,'ASRS options'!$E$27&lt;=2,MOD('ASRS options'!$E$27,1)=0),FALSE()),IF(ISNUMBER('ASRS options'!$E$9),AND('ASRS options'!$E$9&gt;=1,MOD('ASRS options'!$E$9,1)=0),FALSE()),IF(ISNUMBER('ASRS options'!$E$10),AND('ASRS options'!$E$10&gt;=1,MOD('ASRS options'!$E$10,1)=0),FALSE()),IF(ISNUMBER('ASRS options'!$E$11),AND('ASRS options'!$E$11&gt;=0,MOD('ASRS options'!$E$11,1)=0),FALSE()),IF(ISNUMBER('ASRS options'!$E$12),AND('ASRS options'!$E$12&gt;=0.01,'ASRS options'!$E$12&lt;=1),FALSE()),IF(ISNUMBER('ASRS options'!$E$28),AND('ASRS options'!$E$28&gt;=0.001),FALSE()),IF(ISNUMBER('ASRS options'!$E$29),AND('ASRS options'!$E$29&gt;=0),FALSE()),IF(ISNUMBER('ASRS options'!$E$30),AND('ASRS options'!$E$30&gt;=0.001),FALSE()),IF(ISNUMBER('ASRS options'!$E$31),AND('ASRS options'!$E$31&gt;=0),FALSE()),IF(ISNUMBER('ASRS options'!$E$32),AND('ASRS options'!$E$32&gt;=0.001),FALSE()),IF(ISNUMBER('ASRS options'!$E$33),AND('ASRS options'!$E$33&gt;=0),FALSE()),IF(ISNUMBER('ASRS options'!$E$13),AND('ASRS options'!$E$13&gt;=0),FALSE()),IF(ISNUMBER('ASRS options'!$E$15),AND('ASRS options'!$E$15&gt;=0.001),FALSE()),IF(ISNUMBER('ASRS options'!$E$34),AND('ASRS options'!$E$34&gt;=0),FALSE()),IF(ISNUMBER('ASRS options'!$E$35),AND('ASRS options'!$E$35&gt;=0.001),FALSE()),IF(ISNUMBER('ASRS options'!$E$36),AND('ASRS options'!$E$36&gt;=0.001),FALSE()),IF(ISNUMBER('ASRS options'!$E$37),AND('ASRS options'!$E$37&gt;=0),FALSE()),IF(ISNUMBER('ASRS options'!$E$38),AND('ASRS options'!$E$38&gt;=0),FALSE()),IF(ISNUMBER('ASRS options'!$E$39),AND('ASRS options'!$E$39&gt;=0.001),FALSE()),IF(ISNUMBER('ASRS options'!$E$40),AND('ASRS options'!$E$40&gt;=0.001),FALSE()),IF(ISNUMBER('ASRS options'!$E$17),AND('ASRS options'!$E$17&gt;=0.001),FALSE()),IF(ISNUMBER('ASRS options'!$E$18),AND('ASRS options'!$E$18&gt;=0.001),FALSE()),IF(ISNUMBER('ASRS options'!$E$19),AND('ASRS options'!$E$19&gt;=0.01,'ASRS options'!$E$19&lt;=1),FALSE()),IF(ISNUMBER('ASRS options'!$E$41),AND('ASRS options'!$E$41&gt;=0),FALSE()),IF(ISNUMBER('ASRS options'!$E$42),AND('ASRS options'!$E$42&gt;=0),FALSE()),OR('ASRS options'!$E$43="Area estimate",'ASRS options'!$E$43="Measured trays"),IF('ASRS options'!$E$44="",TRUE(),IF(ISNUMBER('ASRS options'!$E$44),AND('ASRS options'!$E$44&gt;=0,MOD('ASRS options'!$E$44,1)=0),FALSE())),IF('ASRS options'!$E$45="",TRUE(),IF(ISNUMBER('ASRS options'!$E$45),AND('ASRS options'!$E$45&gt;=0),FALSE())),IF('ASRS options'!$E$46="",TRUE(),IF(ISNUMBER('ASRS options'!$E$46),AND('ASRS options'!$E$46&gt;=0.001),FALSE())),IF(ISNUMBER('ASRS options'!$E$47),AND('ASRS options'!$E$47&gt;=0.01,'ASRS options'!$E$47&lt;=1),FALSE()),IF('ASRS options'!$E$48="",TRUE(),IF(ISNUMBER('ASRS options'!$E$48),AND('ASRS options'!$E$48&gt;=0),FALSE())),IF('ASRS options'!$E$49="",TRUE(),IF(ISNUMBER('ASRS options'!$E$49),AND('ASRS options'!$E$49&gt;=0.001),FALSE())),IF('ASRS options'!$E$21="",TRUE(),IF(ISNUMBER('ASRS options'!$E$21),AND('ASRS options'!$E$21&gt;=0),FALSE())),IF('ASRS options'!$E$22="",TRUE(),IF(ISNUMBER('ASRS options'!$E$22),AND('ASRS options'!$E$22&gt;=0),FALSE())))),1,0)</f>
        <v>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customFormat="false" ht="23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customFormat="false" ht="32" hidden="false" customHeight="true" outlineLevel="0" collapsed="false">
      <c r="A54" s="1"/>
      <c r="B54" s="6" t="s">
        <v>354</v>
      </c>
      <c r="C54" s="6" t="s">
        <v>4</v>
      </c>
      <c r="D54" s="6" t="s">
        <v>5</v>
      </c>
      <c r="E54" s="6" t="s">
        <v>6</v>
      </c>
      <c r="F54" s="6" t="s">
        <v>7</v>
      </c>
      <c r="G54" s="6" t="s">
        <v>355</v>
      </c>
      <c r="H54" s="6"/>
      <c r="I54" s="6"/>
      <c r="J54" s="1"/>
      <c r="K54" s="1"/>
      <c r="L54" s="1"/>
      <c r="M54" s="1"/>
      <c r="N54" s="1"/>
      <c r="O54" s="1"/>
      <c r="P54" s="1"/>
      <c r="Q54" s="1"/>
      <c r="R54" s="1"/>
    </row>
    <row r="55" customFormat="false" ht="23" hidden="false" customHeight="true" outlineLevel="0" collapsed="false">
      <c r="A55" s="1"/>
      <c r="B55" s="1" t="s">
        <v>356</v>
      </c>
      <c r="C55" s="30" t="n">
        <f aca="false">IF('ASRS options'!$C$52=1,'ASRS options'!$C$7*'ASRS options'!$C$8,"")</f>
        <v>16</v>
      </c>
      <c r="D55" s="30" t="n">
        <f aca="false">IF('ASRS options'!$D$52=1,'ASRS options'!$D$7*'ASRS options'!$D$8,"")</f>
        <v>8</v>
      </c>
      <c r="E55" s="30" t="n">
        <f aca="false">IF('ASRS options'!$E$52=1,'ASRS options'!$E$7*'ASRS options'!$E$8,"")</f>
        <v>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customFormat="false" ht="23" hidden="false" customHeight="true" outlineLevel="0" collapsed="false">
      <c r="A56" s="1"/>
      <c r="B56" s="1" t="s">
        <v>357</v>
      </c>
      <c r="C56" s="30" t="n">
        <f aca="false">IF('ASRS options'!$C$52=1,ROUNDUP('ASRS options'!$C$55/('ASRS options'!$C$26*'ASRS options'!$C$27),0),"")</f>
        <v>8</v>
      </c>
      <c r="D56" s="30" t="n">
        <f aca="false">IF('ASRS options'!$D$52=1,ROUNDUP('ASRS options'!$D$55/('ASRS options'!$D$26*'ASRS options'!$D$27),0),"")</f>
        <v>4</v>
      </c>
      <c r="E56" s="30" t="n">
        <f aca="false">IF('ASRS options'!$E$52=1,ROUNDUP('ASRS options'!$E$55/('ASRS options'!$E$26*'ASRS options'!$E$27),0),"")</f>
        <v>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customFormat="false" ht="23" hidden="false" customHeight="true" outlineLevel="0" collapsed="false">
      <c r="A57" s="1"/>
      <c r="B57" s="1" t="s">
        <v>37</v>
      </c>
      <c r="C57" s="30" t="n">
        <f aca="false">IF('ASRS options'!$C$52=1,'ASRS options'!$C$56*'ASRS options'!$C$28+'ASRS options'!$C$33,"")</f>
        <v>11.8</v>
      </c>
      <c r="D57" s="30" t="n">
        <f aca="false">IF('ASRS options'!$D$52=1,'ASRS options'!$D$56*'ASRS options'!$D$28+'ASRS options'!$D$33,"")</f>
        <v>11.8</v>
      </c>
      <c r="E57" s="30" t="n">
        <f aca="false">IF('ASRS options'!$E$52=1,'ASRS options'!$E$56*'ASRS options'!$E$28+'ASRS options'!$E$33,"")</f>
        <v>7.6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customFormat="false" ht="23" hidden="false" customHeight="true" outlineLevel="0" collapsed="false">
      <c r="A58" s="1"/>
      <c r="B58" s="1" t="s">
        <v>39</v>
      </c>
      <c r="C58" s="30" t="n">
        <f aca="false">IF('ASRS options'!$C$52=1,'ASRS options'!$C$26*('ASRS options'!$C$27*'ASRS options'!$C$30+'ASRS options'!$C$32),"")</f>
        <v>3.2</v>
      </c>
      <c r="D58" s="30" t="n">
        <f aca="false">IF('ASRS options'!$D$52=1,'ASRS options'!$D$26*('ASRS options'!$D$27*'ASRS options'!$D$30+'ASRS options'!$D$32),"")</f>
        <v>4.6</v>
      </c>
      <c r="E58" s="30" t="n">
        <f aca="false">IF('ASRS options'!$E$52=1,'ASRS options'!$E$26*('ASRS options'!$E$27*'ASRS options'!$E$30+'ASRS options'!$E$32),"")</f>
        <v>3.4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customFormat="false" ht="23" hidden="false" customHeight="true" outlineLevel="0" collapsed="false">
      <c r="A59" s="1"/>
      <c r="B59" s="1" t="s">
        <v>25</v>
      </c>
      <c r="C59" s="30" t="n">
        <f aca="false">IF('ASRS options'!$C$52=1,'ASRS options'!$C$57*'ASRS options'!$C$58,"")</f>
        <v>37.76</v>
      </c>
      <c r="D59" s="30" t="n">
        <f aca="false">IF('ASRS options'!$D$52=1,'ASRS options'!$D$57*'ASRS options'!$D$58,"")</f>
        <v>54.28</v>
      </c>
      <c r="E59" s="30" t="n">
        <f aca="false">IF('ASRS options'!$E$52=1,'ASRS options'!$E$57*'ASRS options'!$E$58,"")</f>
        <v>25.84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customFormat="false" ht="23" hidden="false" customHeight="true" outlineLevel="0" collapsed="false">
      <c r="A60" s="1"/>
      <c r="B60" s="1" t="s">
        <v>26</v>
      </c>
      <c r="C60" s="30" t="n">
        <f aca="false">IF('ASRS options'!$C$52=1,'ASRS options'!$C$57*'ASRS options'!$C$26*'ASRS options'!$C$32,"")</f>
        <v>16.52</v>
      </c>
      <c r="D60" s="30" t="n">
        <f aca="false">IF('ASRS options'!$D$52=1,'ASRS options'!$D$57*'ASRS options'!$D$26*'ASRS options'!$D$32,"")</f>
        <v>25.96</v>
      </c>
      <c r="E60" s="30" t="n">
        <f aca="false">IF('ASRS options'!$E$52=1,'ASRS options'!$E$57*'ASRS options'!$E$26*'ASRS options'!$E$32,"")</f>
        <v>12.16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customFormat="false" ht="23" hidden="false" customHeight="true" outlineLevel="0" collapsed="false">
      <c r="A61" s="1"/>
      <c r="B61" s="1" t="s">
        <v>358</v>
      </c>
      <c r="C61" s="30" t="n">
        <f aca="false">IF('ASRS options'!$C$52=1,MIN('ASRS options'!$C$15,'Customer inputs'!$C$47-'Customer inputs'!$C$48),"")</f>
        <v>5</v>
      </c>
      <c r="D61" s="30" t="n">
        <f aca="false">IF('ASRS options'!$D$52=1,MIN('ASRS options'!$D$15,'Customer inputs'!$C$47-'Customer inputs'!$C$48),"")</f>
        <v>5</v>
      </c>
      <c r="E61" s="30" t="n">
        <f aca="false">IF('ASRS options'!$E$52=1,MIN('ASRS options'!$E$15,'Customer inputs'!$C$47-'Customer inputs'!$C$48),"")</f>
        <v>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customFormat="false" ht="23" hidden="false" customHeight="true" outlineLevel="0" collapsed="false">
      <c r="A62" s="1"/>
      <c r="B62" s="1" t="s">
        <v>359</v>
      </c>
      <c r="C62" s="30" t="n">
        <f aca="false">IF('ASRS options'!$C$52=1,MAX(0,INT(('ASRS options'!$C$61-'ASRS options'!$C$34-'ASRS options'!$C$36-'ASRS options'!$C$37-'ASRS options'!$C$38)/'ASRS options'!$C$35)+1),"")</f>
        <v>10</v>
      </c>
      <c r="D62" s="30" t="n">
        <f aca="false">IF('ASRS options'!$D$52=1,MAX(0,INT(('ASRS options'!$D$61-'ASRS options'!$D$34-'ASRS options'!$D$36-'ASRS options'!$D$37-'ASRS options'!$D$38)/'ASRS options'!$D$35)+1),"")</f>
        <v>8</v>
      </c>
      <c r="E62" s="30" t="n">
        <f aca="false">IF('ASRS options'!$E$52=1,MAX(0,INT(('ASRS options'!$E$61-'ASRS options'!$E$34-'ASRS options'!$E$36-'ASRS options'!$E$37-'ASRS options'!$E$38)/'ASRS options'!$E$35)+1),"")</f>
        <v>10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customFormat="false" ht="23" hidden="false" customHeight="true" outlineLevel="0" collapsed="false">
      <c r="A63" s="1"/>
      <c r="B63" s="1" t="s">
        <v>36</v>
      </c>
      <c r="C63" s="30" t="n">
        <f aca="false">IF('ASRS options'!$C$52=1,MIN('ASRS options'!$C$9,'ASRS options'!$C$62),"")</f>
        <v>10</v>
      </c>
      <c r="D63" s="30" t="n">
        <f aca="false">IF('ASRS options'!$D$52=1,MIN('ASRS options'!$D$9,'ASRS options'!$D$62),"")</f>
        <v>8</v>
      </c>
      <c r="E63" s="30" t="n">
        <f aca="false">IF('ASRS options'!$E$52=1,MIN('ASRS options'!$E$9,'ASRS options'!$E$62),"")</f>
        <v>10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customFormat="false" ht="23" hidden="false" customHeight="true" outlineLevel="0" collapsed="false">
      <c r="A64" s="1"/>
      <c r="B64" s="1" t="s">
        <v>40</v>
      </c>
      <c r="C64" s="30" t="n">
        <f aca="false">IF('ASRS options'!$C$52=1,IF('ASRS options'!$C$63&gt;0,'ASRS options'!$C$34+('ASRS options'!$C$63-1)*'ASRS options'!$C$35+'ASRS options'!$C$36+'ASRS options'!$C$37+'ASRS options'!$C$38,0),"")</f>
        <v>4.84</v>
      </c>
      <c r="D64" s="30" t="n">
        <f aca="false">IF('ASRS options'!$D$52=1,IF('ASRS options'!$D$63&gt;0,'ASRS options'!$D$34+('ASRS options'!$D$63-1)*'ASRS options'!$D$35+'ASRS options'!$D$36+'ASRS options'!$D$37+'ASRS options'!$D$38,0),"")</f>
        <v>4.79</v>
      </c>
      <c r="E64" s="30" t="n">
        <f aca="false">IF('ASRS options'!$E$52=1,IF('ASRS options'!$E$63&gt;0,'ASRS options'!$E$34+('ASRS options'!$E$63-1)*'ASRS options'!$E$35+'ASRS options'!$E$36+'ASRS options'!$E$37+'ASRS options'!$E$38,0),"")</f>
        <v>4.84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customFormat="false" ht="23" hidden="false" customHeight="true" outlineLevel="0" collapsed="false">
      <c r="A65" s="1"/>
      <c r="B65" s="1" t="s">
        <v>360</v>
      </c>
      <c r="C65" s="30" t="n">
        <f aca="false">IF('ASRS options'!$C$52=1,'ASRS options'!$C$55*'ASRS options'!$C$63*'ASRS options'!$C$10,"")</f>
        <v>160</v>
      </c>
      <c r="D65" s="30" t="n">
        <f aca="false">IF('ASRS options'!$D$52=1,'ASRS options'!$D$55*'ASRS options'!$D$63*'ASRS options'!$D$10,"")</f>
        <v>64</v>
      </c>
      <c r="E65" s="30" t="n">
        <f aca="false">IF('ASRS options'!$E$52=1,'ASRS options'!$E$55*'ASRS options'!$E$63*'ASRS options'!$E$10,"")</f>
        <v>100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customFormat="false" ht="23" hidden="false" customHeight="true" outlineLevel="0" collapsed="false">
      <c r="A66" s="1"/>
      <c r="B66" s="1" t="s">
        <v>10</v>
      </c>
      <c r="C66" s="30" t="n">
        <f aca="false">IF('ASRS options'!$C$52=1,MAX(0,'ASRS options'!$C$65-'ASRS options'!$C$11),"")</f>
        <v>160</v>
      </c>
      <c r="D66" s="30" t="n">
        <f aca="false">IF('ASRS options'!$D$52=1,MAX(0,'ASRS options'!$D$65-'ASRS options'!$D$11),"")</f>
        <v>64</v>
      </c>
      <c r="E66" s="30" t="n">
        <f aca="false">IF('ASRS options'!$E$52=1,MAX(0,'ASRS options'!$E$65-'ASRS options'!$E$11),"")</f>
        <v>100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customFormat="false" ht="23" hidden="false" customHeight="true" outlineLevel="0" collapsed="false">
      <c r="A67" s="1"/>
      <c r="B67" s="1" t="s">
        <v>12</v>
      </c>
      <c r="C67" s="30" t="n">
        <f aca="false">IF('ASRS options'!$C$52=1,INT('ASRS options'!$C$66*'ASRS options'!$C$12+0.000000001),"")</f>
        <v>128</v>
      </c>
      <c r="D67" s="30" t="n">
        <f aca="false">IF('ASRS options'!$D$52=1,INT('ASRS options'!$D$66*'ASRS options'!$D$12+0.000000001),"")</f>
        <v>51</v>
      </c>
      <c r="E67" s="30" t="n">
        <f aca="false">IF('ASRS options'!$E$52=1,INT('ASRS options'!$E$66*'ASRS options'!$E$12+0.000000001),"")</f>
        <v>80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customFormat="false" ht="23" hidden="false" customHeight="true" outlineLevel="0" collapsed="false">
      <c r="A68" s="1"/>
      <c r="B68" s="1" t="s">
        <v>22</v>
      </c>
      <c r="C68" s="30" t="n">
        <f aca="false">IF('ASRS options'!$C$52=1,'ASRS options'!$C$17*'ASRS options'!$C$18*'ASRS options'!$C$19,"")</f>
        <v>0.864</v>
      </c>
      <c r="D68" s="30" t="n">
        <f aca="false">IF('ASRS options'!$D$52=1,'ASRS options'!$D$17*'ASRS options'!$D$18*'ASRS options'!$D$19,"")</f>
        <v>2.574</v>
      </c>
      <c r="E68" s="30" t="n">
        <f aca="false">IF('ASRS options'!$E$52=1,'ASRS options'!$E$17*'ASRS options'!$E$18*'ASRS options'!$E$19,"")</f>
        <v>0.864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customFormat="false" ht="23" hidden="false" customHeight="true" outlineLevel="0" collapsed="false">
      <c r="A69" s="1"/>
      <c r="B69" s="1" t="s">
        <v>23</v>
      </c>
      <c r="C69" s="30" t="n">
        <f aca="false">IF('ASRS options'!$C$52=1,'ASRS options'!$C$66*'ASRS options'!$C$68,"")</f>
        <v>138.24</v>
      </c>
      <c r="D69" s="30" t="n">
        <f aca="false">IF('ASRS options'!$D$52=1,'ASRS options'!$D$66*'ASRS options'!$D$68,"")</f>
        <v>164.736</v>
      </c>
      <c r="E69" s="30" t="n">
        <f aca="false">IF('ASRS options'!$E$52=1,'ASRS options'!$E$66*'ASRS options'!$E$68,"")</f>
        <v>86.4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customFormat="false" ht="23" hidden="false" customHeight="true" outlineLevel="0" collapsed="false">
      <c r="A70" s="1"/>
      <c r="B70" s="1" t="s">
        <v>24</v>
      </c>
      <c r="C70" s="30" t="n">
        <f aca="false">IF('ASRS options'!$C$52=1,'ASRS options'!$C$67*'ASRS options'!$C$68,"")</f>
        <v>110.592</v>
      </c>
      <c r="D70" s="30" t="n">
        <f aca="false">IF('ASRS options'!$D$52=1,'ASRS options'!$D$67*'ASRS options'!$D$68,"")</f>
        <v>131.274</v>
      </c>
      <c r="E70" s="30" t="n">
        <f aca="false">IF('ASRS options'!$E$52=1,'ASRS options'!$E$67*'ASRS options'!$E$68,"")</f>
        <v>69.12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customFormat="false" ht="23" hidden="false" customHeight="true" outlineLevel="0" collapsed="false">
      <c r="A71" s="1"/>
      <c r="B71" s="1" t="s">
        <v>13</v>
      </c>
      <c r="C71" s="30" t="n">
        <f aca="false">IF('ASRS options'!$C$52=1,IF('ASRS options'!$C$43="Measured trays",IF(ISNUMBER('ASRS options'!$C$44),'ASRS options'!$C$44,""),ROUNDUP('Customer inputs'!$C$71/'ASRS options'!$C$68,0)),"")</f>
        <v>3441</v>
      </c>
      <c r="D71" s="30" t="n">
        <f aca="false">IF('ASRS options'!$D$52=1,IF('ASRS options'!$D$43="Measured trays",IF(ISNUMBER('ASRS options'!$D$44),'ASRS options'!$D$44,""),ROUNDUP('Customer inputs'!$C$71/'ASRS options'!$D$68,0)),"")</f>
        <v>1155</v>
      </c>
      <c r="E71" s="30" t="n">
        <f aca="false">IF('ASRS options'!$E$52=1,IF('ASRS options'!$E$43="Measured trays",IF(ISNUMBER('ASRS options'!$E$44),'ASRS options'!$E$44,""),ROUNDUP('Customer inputs'!$C$71/'ASRS options'!$E$68,0)),"")</f>
        <v>3441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customFormat="false" ht="23" hidden="false" customHeight="true" outlineLevel="0" collapsed="false">
      <c r="A72" s="1"/>
      <c r="B72" s="1" t="s">
        <v>14</v>
      </c>
      <c r="C72" s="30" t="n">
        <f aca="false">IF('ASRS options'!$C$52=1,IF(ISNUMBER('ASRS options'!$C$71),ROUNDUP('ASRS options'!$C$71/'ASRS options'!$C$12,0),""),"")</f>
        <v>4302</v>
      </c>
      <c r="D72" s="30" t="n">
        <f aca="false">IF('ASRS options'!$D$52=1,IF(ISNUMBER('ASRS options'!$D$71),ROUNDUP('ASRS options'!$D$71/'ASRS options'!$D$12,0),""),"")</f>
        <v>1444</v>
      </c>
      <c r="E72" s="30" t="n">
        <f aca="false">IF('ASRS options'!$E$52=1,IF(ISNUMBER('ASRS options'!$E$71),ROUNDUP('ASRS options'!$E$71/'ASRS options'!$E$12,0),""),"")</f>
        <v>4302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customFormat="false" ht="23" hidden="false" customHeight="true" outlineLevel="0" collapsed="false">
      <c r="A73" s="1"/>
      <c r="B73" s="1" t="s">
        <v>15</v>
      </c>
      <c r="C73" s="30" t="n">
        <f aca="false">IF('ASRS options'!$C$52=1,IF(ISNUMBER('ASRS options'!$C$72),MAX(0,'ASRS options'!$C$72-'ASRS options'!$C$66),""),"")</f>
        <v>4142</v>
      </c>
      <c r="D73" s="30" t="n">
        <f aca="false">IF('ASRS options'!$D$52=1,IF(ISNUMBER('ASRS options'!$D$72),MAX(0,'ASRS options'!$D$72-'ASRS options'!$D$66),""),"")</f>
        <v>1380</v>
      </c>
      <c r="E73" s="30" t="n">
        <f aca="false">IF('ASRS options'!$E$52=1,IF(ISNUMBER('ASRS options'!$E$72),MAX(0,'ASRS options'!$E$72-'ASRS options'!$E$66),""),"")</f>
        <v>4202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customFormat="false" ht="23" hidden="false" customHeight="true" outlineLevel="0" collapsed="false">
      <c r="A74" s="1"/>
      <c r="B74" s="1" t="s">
        <v>361</v>
      </c>
      <c r="C74" s="30" t="n">
        <f aca="false">IF('ASRS options'!$C$52=1,IF(AND('ASRS options'!$C$10*'ASRS options'!$C$39+('ASRS options'!$C$10-1)*'ASRS options'!$C$41&lt;='ASRS options'!$C$28-'ASRS options'!$C$29+0.00000001,'ASRS options'!$C$40&lt;='ASRS options'!$C$30-'ASRS options'!$C$31+0.00000001,'ASRS options'!$C$17&lt;='ASRS options'!$C$39+0.00000001,'ASRS options'!$C$18&lt;='ASRS options'!$C$40+0.00000001,'ASRS options'!$C$36+'ASRS options'!$C$37+'ASRS options'!$C$42&lt;='ASRS options'!$C$35+0.00000001,'ASRS options'!$C$11&lt;='ASRS options'!$C$65,'ASRS options'!$C$63&gt;=1),1,0),"")</f>
        <v>1</v>
      </c>
      <c r="D74" s="30" t="n">
        <f aca="false">IF('ASRS options'!$D$52=1,IF(AND('ASRS options'!$D$10*'ASRS options'!$D$39+('ASRS options'!$D$10-1)*'ASRS options'!$D$41&lt;='ASRS options'!$D$28-'ASRS options'!$D$29+0.00000001,'ASRS options'!$D$40&lt;='ASRS options'!$D$30-'ASRS options'!$D$31+0.00000001,'ASRS options'!$D$17&lt;='ASRS options'!$D$39+0.00000001,'ASRS options'!$D$18&lt;='ASRS options'!$D$40+0.00000001,'ASRS options'!$D$36+'ASRS options'!$D$37+'ASRS options'!$D$42&lt;='ASRS options'!$D$35+0.00000001,'ASRS options'!$D$11&lt;='ASRS options'!$D$65,'ASRS options'!$D$63&gt;=1),1,0),"")</f>
        <v>1</v>
      </c>
      <c r="E74" s="30" t="n">
        <f aca="false">IF('ASRS options'!$E$52=1,IF(AND('ASRS options'!$E$10*'ASRS options'!$E$39+('ASRS options'!$E$10-1)*'ASRS options'!$E$41&lt;='ASRS options'!$E$28-'ASRS options'!$E$29+0.00000001,'ASRS options'!$E$40&lt;='ASRS options'!$E$30-'ASRS options'!$E$31+0.00000001,'ASRS options'!$E$17&lt;='ASRS options'!$E$39+0.00000001,'ASRS options'!$E$18&lt;='ASRS options'!$E$40+0.00000001,'ASRS options'!$E$36+'ASRS options'!$E$37+'ASRS options'!$E$42&lt;='ASRS options'!$E$35+0.00000001,'ASRS options'!$E$11&lt;='ASRS options'!$E$65,'ASRS options'!$E$63&gt;=1),1,0),"")</f>
        <v>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customFormat="false" ht="23" hidden="false" customHeight="true" outlineLevel="0" collapsed="false">
      <c r="A75" s="1"/>
      <c r="B75" s="1" t="s">
        <v>362</v>
      </c>
      <c r="C75" s="30" t="n">
        <f aca="false">IF('ASRS options'!$C$52=1,IF(AND('Customer inputs'!$C$10&lt;='Customer inputs'!$C$8,'Customer inputs'!$C$11&lt;='Customer inputs'!$C$9,'Customer inputs'!$C$39&lt;='Customer inputs'!$C$37,'Customer inputs'!$C$40&lt;='Customer inputs'!$C$38,'Customer inputs'!$C$15&lt;='Customer inputs'!$C$13,'Customer inputs'!$C$16&lt;='Customer inputs'!$C$15),1,0),"")</f>
        <v>1</v>
      </c>
      <c r="D75" s="30" t="n">
        <f aca="false">IF('ASRS options'!$D$52=1,IF(AND('Customer inputs'!$C$10&lt;='Customer inputs'!$C$8,'Customer inputs'!$C$11&lt;='Customer inputs'!$C$9,'Customer inputs'!$C$39&lt;='Customer inputs'!$C$37,'Customer inputs'!$C$40&lt;='Customer inputs'!$C$38,'Customer inputs'!$C$15&lt;='Customer inputs'!$C$13,'Customer inputs'!$C$16&lt;='Customer inputs'!$C$15),1,0),"")</f>
        <v>1</v>
      </c>
      <c r="E75" s="30" t="n">
        <f aca="false">IF('ASRS options'!$E$52=1,IF(AND('Customer inputs'!$C$10&lt;='Customer inputs'!$C$8,'Customer inputs'!$C$11&lt;='Customer inputs'!$C$9,'Customer inputs'!$C$39&lt;='Customer inputs'!$C$37,'Customer inputs'!$C$40&lt;='Customer inputs'!$C$38,'Customer inputs'!$C$15&lt;='Customer inputs'!$C$13,'Customer inputs'!$C$16&lt;='Customer inputs'!$C$15),1,0),"")</f>
        <v>1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customFormat="false" ht="23" hidden="false" customHeight="true" outlineLevel="0" collapsed="false">
      <c r="A76" s="1"/>
      <c r="B76" s="1" t="s">
        <v>16</v>
      </c>
      <c r="C76" s="30" t="n">
        <f aca="false">IF('ASRS options'!$C$52=1,IF('ASRS options'!$C$43="Measured trays",IF(ISNUMBER('ASRS options'!$C$71),IF('ASRS options'!$C$71=0,'Customer inputs'!$C$15,'Customer inputs'!$C$13-MIN('Customer inputs'!$C$13-'Customer inputs'!$C$15,INT('ASRS options'!$C$67/'ASRS options'!$C$71*('Customer inputs'!$C$13-'Customer inputs'!$C$15)+0.000000001))),""),IF('Customer inputs'!$C$65*'Customer inputs'!$C$41*'Customer inputs'!$C$42&gt;0,MAX('Customer inputs'!$C$15,'Customer inputs'!$C$16+ROUNDUP(MAX(0,'Customer inputs'!$C$69-'ASRS options'!$C$70)/('Customer inputs'!$C$65*'Customer inputs'!$C$41*'Customer inputs'!$C$42),0)),IF('ASRS options'!$C$70&gt;='Customer inputs'!$C$69,'Customer inputs'!$C$15,'Customer inputs'!$C$13))),"")</f>
        <v>486</v>
      </c>
      <c r="D76" s="30" t="n">
        <f aca="false">IF('ASRS options'!$D$52=1,IF('ASRS options'!$D$43="Measured trays",IF(ISNUMBER('ASRS options'!$D$71),IF('ASRS options'!$D$71=0,'Customer inputs'!$C$15,'Customer inputs'!$C$13-MIN('Customer inputs'!$C$13-'Customer inputs'!$C$15,INT('ASRS options'!$D$67/'ASRS options'!$D$71*('Customer inputs'!$C$13-'Customer inputs'!$C$15)+0.000000001))),""),IF('Customer inputs'!$C$65*'Customer inputs'!$C$41*'Customer inputs'!$C$42&gt;0,MAX('Customer inputs'!$C$15,'Customer inputs'!$C$16+ROUNDUP(MAX(0,'Customer inputs'!$C$69-'ASRS options'!$D$70)/('Customer inputs'!$C$65*'Customer inputs'!$C$41*'Customer inputs'!$C$42),0)),IF('ASRS options'!$D$70&gt;='Customer inputs'!$C$69,'Customer inputs'!$C$15,'Customer inputs'!$C$13))),"")</f>
        <v>483</v>
      </c>
      <c r="E76" s="30" t="n">
        <f aca="false">IF('ASRS options'!$E$52=1,IF('ASRS options'!$E$43="Measured trays",IF(ISNUMBER('ASRS options'!$E$71),IF('ASRS options'!$E$71=0,'Customer inputs'!$C$15,'Customer inputs'!$C$13-MIN('Customer inputs'!$C$13-'Customer inputs'!$C$15,INT('ASRS options'!$E$67/'ASRS options'!$E$71*('Customer inputs'!$C$13-'Customer inputs'!$C$15)+0.000000001))),""),IF('Customer inputs'!$C$65*'Customer inputs'!$C$41*'Customer inputs'!$C$42&gt;0,MAX('Customer inputs'!$C$15,'Customer inputs'!$C$16+ROUNDUP(MAX(0,'Customer inputs'!$C$69-'ASRS options'!$E$70)/('Customer inputs'!$C$65*'Customer inputs'!$C$41*'Customer inputs'!$C$42),0)),IF('ASRS options'!$E$70&gt;='Customer inputs'!$C$69,'Customer inputs'!$C$15,'Customer inputs'!$C$13))),"")</f>
        <v>491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customFormat="false" ht="23" hidden="false" customHeight="true" outlineLevel="0" collapsed="false">
      <c r="A77" s="1"/>
      <c r="B77" s="1" t="s">
        <v>17</v>
      </c>
      <c r="C77" s="30" t="n">
        <f aca="false">IF('ASRS options'!$C$52=1,IF(ISNUMBER('ASRS options'!$C$76),'Customer inputs'!$C$13-'ASRS options'!$C$76,""),"")</f>
        <v>14</v>
      </c>
      <c r="D77" s="30" t="n">
        <f aca="false">IF('ASRS options'!$D$52=1,IF(ISNUMBER('ASRS options'!$D$76),'Customer inputs'!$C$13-'ASRS options'!$D$76,""),"")</f>
        <v>17</v>
      </c>
      <c r="E77" s="30" t="n">
        <f aca="false">IF('ASRS options'!$E$52=1,IF(ISNUMBER('ASRS options'!$E$76),'Customer inputs'!$C$13-'ASRS options'!$E$76,""),"")</f>
        <v>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customFormat="false" ht="23" hidden="false" customHeight="true" outlineLevel="0" collapsed="false">
      <c r="A78" s="1"/>
      <c r="B78" s="1" t="s">
        <v>8</v>
      </c>
      <c r="C78" s="30" t="n">
        <f aca="false">IF('ASRS options'!$C$52=1,IF(AND(ISNUMBER('ASRS options'!$C$72),'ASRS options'!$C$66&gt;='ASRS options'!$C$72,'ASRS options'!$C$74=1,'ASRS options'!$C$75=1),1,0),"")</f>
        <v>0</v>
      </c>
      <c r="D78" s="30" t="n">
        <f aca="false">IF('ASRS options'!$D$52=1,IF(AND(ISNUMBER('ASRS options'!$D$72),'ASRS options'!$D$66&gt;='ASRS options'!$D$72,'ASRS options'!$D$74=1,'ASRS options'!$D$75=1),1,0),"")</f>
        <v>0</v>
      </c>
      <c r="E78" s="30" t="n">
        <f aca="false">IF('ASRS options'!$E$52=1,IF(AND(ISNUMBER('ASRS options'!$E$72),'ASRS options'!$E$66&gt;='ASRS options'!$E$72,'ASRS options'!$E$74=1,'ASRS options'!$E$75=1),1,0),"")</f>
        <v>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customFormat="false" ht="23" hidden="false" customHeight="true" outlineLevel="0" collapsed="false">
      <c r="A79" s="1"/>
      <c r="B79" s="1" t="s">
        <v>27</v>
      </c>
      <c r="C79" s="30" t="n">
        <f aca="false">IF('ASRS options'!$C$52=1,IF(ISNUMBER('ASRS options'!$C$76),'Customer inputs'!$C$66-'ASRS options'!$C$76*'Customer inputs'!$C$64,""),"")</f>
        <v>26.0128512</v>
      </c>
      <c r="D79" s="30" t="n">
        <f aca="false">IF('ASRS options'!$D$52=1,IF(ISNUMBER('ASRS options'!$D$76),'Customer inputs'!$C$66-'ASRS options'!$D$76*'Customer inputs'!$C$64,""),"")</f>
        <v>31.5870335999999</v>
      </c>
      <c r="E79" s="30" t="n">
        <f aca="false">IF('ASRS options'!$E$52=1,IF(ISNUMBER('ASRS options'!$E$76),'Customer inputs'!$C$66-'ASRS options'!$E$76*'Customer inputs'!$C$64,""),"")</f>
        <v>16.7225472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customFormat="false" ht="23" hidden="false" customHeight="true" outlineLevel="0" collapsed="false">
      <c r="A80" s="1"/>
      <c r="B80" s="1" t="s">
        <v>28</v>
      </c>
      <c r="C80" s="30" t="n">
        <f aca="false">IF('ASRS options'!$C$52=1,IF('ASRS options'!$C$78=1,'Customer inputs'!$C$18,0),"")</f>
        <v>0</v>
      </c>
      <c r="D80" s="30" t="n">
        <f aca="false">IF('ASRS options'!$D$52=1,IF('ASRS options'!$D$78=1,'Customer inputs'!$C$18,0),"")</f>
        <v>0</v>
      </c>
      <c r="E80" s="30" t="n">
        <f aca="false">IF('ASRS options'!$E$52=1,IF('ASRS options'!$E$78=1,'Customer inputs'!$C$18,0),"")</f>
        <v>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customFormat="false" ht="23" hidden="false" customHeight="true" outlineLevel="0" collapsed="false">
      <c r="A81" s="1"/>
      <c r="B81" s="1" t="s">
        <v>30</v>
      </c>
      <c r="C81" s="30" t="n">
        <f aca="false">IF('ASRS options'!$C$52=1,IF(AND('ASRS options'!$C$74=1,'ASRS options'!$C$75=1,ISNUMBER('ASRS options'!$C$79)),'ASRS options'!$C$79+'ASRS options'!$C$80-'ASRS options'!$C$59-'ASRS options'!$C$13,""),"")</f>
        <v>-31.7471488</v>
      </c>
      <c r="D81" s="30" t="n">
        <f aca="false">IF('ASRS options'!$D$52=1,IF(AND('ASRS options'!$D$74=1,'ASRS options'!$D$75=1,ISNUMBER('ASRS options'!$D$79)),'ASRS options'!$D$79+'ASRS options'!$D$80-'ASRS options'!$D$59-'ASRS options'!$D$13,""),"")</f>
        <v>-42.6929664000001</v>
      </c>
      <c r="E81" s="30" t="n">
        <f aca="false">IF('ASRS options'!$E$52=1,IF(AND('ASRS options'!$E$74=1,'ASRS options'!$E$75=1,ISNUMBER('ASRS options'!$E$79)),'ASRS options'!$E$79+'ASRS options'!$E$80-'ASRS options'!$E$59-'ASRS options'!$E$13,""),"")</f>
        <v>-29.1174528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customFormat="false" ht="23" hidden="false" customHeight="true" outlineLevel="0" collapsed="false">
      <c r="A82" s="1"/>
      <c r="B82" s="1" t="s">
        <v>31</v>
      </c>
      <c r="C82" s="30" t="str">
        <f aca="false">IF('ASRS options'!$C$52=1,IF('ASRS options'!$C$78=1,'Customer inputs'!$C$72+'Customer inputs'!$C$18-'ASRS options'!$C$59-'ASRS options'!$C$13,""),"")</f>
        <v/>
      </c>
      <c r="D82" s="30" t="str">
        <f aca="false">IF('ASRS options'!$D$52=1,IF('ASRS options'!$D$78=1,'Customer inputs'!$C$72+'Customer inputs'!$C$18-'ASRS options'!$D$59-'ASRS options'!$D$13,""),"")</f>
        <v/>
      </c>
      <c r="E82" s="30" t="str">
        <f aca="false">IF('ASRS options'!$E$52=1,IF('ASRS options'!$E$78=1,'Customer inputs'!$C$72+'Customer inputs'!$C$18-'ASRS options'!$E$59-'ASRS options'!$E$13,""),"")</f>
        <v/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customFormat="false" ht="23" hidden="false" customHeight="true" outlineLevel="0" collapsed="false">
      <c r="A83" s="1"/>
      <c r="B83" s="1" t="s">
        <v>32</v>
      </c>
      <c r="C83" s="30" t="n">
        <f aca="false">IF('ASRS options'!$C$52=1,IF(ISNUMBER('ASRS options'!$C$81),INT(MAX(0,'ASRS options'!$C$81)/'Customer inputs'!$C$19),""),"")</f>
        <v>0</v>
      </c>
      <c r="D83" s="30" t="n">
        <f aca="false">IF('ASRS options'!$D$52=1,IF(ISNUMBER('ASRS options'!$D$81),INT(MAX(0,'ASRS options'!$D$81)/'Customer inputs'!$C$19),""),"")</f>
        <v>0</v>
      </c>
      <c r="E83" s="30" t="n">
        <f aca="false">IF('ASRS options'!$E$52=1,IF(ISNUMBER('ASRS options'!$E$81),INT(MAX(0,'ASRS options'!$E$81)/'Customer inputs'!$C$19),""),"")</f>
        <v>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customFormat="false" ht="23" hidden="false" customHeight="true" outlineLevel="0" collapsed="false">
      <c r="A84" s="1"/>
      <c r="B84" s="1" t="s">
        <v>33</v>
      </c>
      <c r="C84" s="30" t="n">
        <f aca="false">IF('ASRS options'!$C$52=1,'ASRS options'!$C$69/'ASRS options'!$C$59,"")</f>
        <v>3.66101694915254</v>
      </c>
      <c r="D84" s="30" t="n">
        <f aca="false">IF('ASRS options'!$D$52=1,'ASRS options'!$D$69/'ASRS options'!$D$59,"")</f>
        <v>3.0349299926308</v>
      </c>
      <c r="E84" s="30" t="n">
        <f aca="false">IF('ASRS options'!$E$52=1,'ASRS options'!$E$69/'ASRS options'!$E$59,"")</f>
        <v>3.34365325077399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customFormat="false" ht="23" hidden="false" customHeight="true" outlineLevel="0" collapsed="false">
      <c r="A85" s="1"/>
      <c r="B85" s="1" t="s">
        <v>363</v>
      </c>
      <c r="C85" s="30" t="n">
        <f aca="false">IF('ASRS options'!$C$52=1,'Customer inputs'!$C$12*'Customer inputs'!$C$63/'Customer inputs'!$C$62,"")</f>
        <v>4</v>
      </c>
      <c r="D85" s="30" t="n">
        <f aca="false">IF('ASRS options'!$D$52=1,'Customer inputs'!$C$12*'Customer inputs'!$C$63/'Customer inputs'!$C$62,"")</f>
        <v>4</v>
      </c>
      <c r="E85" s="30" t="n">
        <f aca="false">IF('ASRS options'!$E$52=1,'Customer inputs'!$C$12*'Customer inputs'!$C$63/'Customer inputs'!$C$62,"")</f>
        <v>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customFormat="false" ht="23" hidden="false" customHeight="true" outlineLevel="0" collapsed="false">
      <c r="A86" s="1"/>
      <c r="B86" s="1" t="s">
        <v>35</v>
      </c>
      <c r="C86" s="30" t="n">
        <f aca="false">IF('ASRS options'!$C$52=1,IF('ASRS options'!$C$85&gt;0,'ASRS options'!$C$84/'ASRS options'!$C$85,""),"")</f>
        <v>0.915254237288136</v>
      </c>
      <c r="D86" s="30" t="n">
        <f aca="false">IF('ASRS options'!$D$52=1,IF('ASRS options'!$D$85&gt;0,'ASRS options'!$D$84/'ASRS options'!$D$85,""),"")</f>
        <v>0.758732498157701</v>
      </c>
      <c r="E86" s="30" t="n">
        <f aca="false">IF('ASRS options'!$E$52=1,IF('ASRS options'!$E$85&gt;0,'ASRS options'!$E$84/'ASRS options'!$E$85,""),"")</f>
        <v>0.835913312693499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customFormat="false" ht="23" hidden="false" customHeight="true" outlineLevel="0" collapsed="false">
      <c r="A87" s="1"/>
      <c r="B87" s="1" t="s">
        <v>364</v>
      </c>
      <c r="C87" s="30" t="str">
        <f aca="false">IF('ASRS options'!$C$52=1,IF(AND(ISNUMBER('Customer inputs'!$C$27),ISNUMBER('ASRS options'!$C$81)),MAX(0,'ASRS options'!$C$81)*'Customer inputs'!$C$59*'Customer inputs'!$C$27,""),"")</f>
        <v/>
      </c>
      <c r="D87" s="30" t="str">
        <f aca="false">IF('ASRS options'!$D$52=1,IF(AND(ISNUMBER('Customer inputs'!$C$27),ISNUMBER('ASRS options'!$D$81)),MAX(0,'ASRS options'!$D$81)*'Customer inputs'!$C$59*'Customer inputs'!$C$27,""),"")</f>
        <v/>
      </c>
      <c r="E87" s="30" t="str">
        <f aca="false">IF('ASRS options'!$E$52=1,IF(AND(ISNUMBER('Customer inputs'!$C$27),ISNUMBER('ASRS options'!$E$81)),MAX(0,'ASRS options'!$E$81)*'Customer inputs'!$C$59*'Customer inputs'!$C$27,""),"")</f>
        <v/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customFormat="false" ht="23" hidden="false" customHeight="true" outlineLevel="0" collapsed="false">
      <c r="A88" s="1"/>
      <c r="B88" s="1" t="s">
        <v>46</v>
      </c>
      <c r="C88" s="30" t="n">
        <f aca="false">IF('ASRS options'!$C$52=1,IF('Customer inputs'!$C$28=0,0,IF(ISNUMBER('ASRS options'!$C$87),'ASRS options'!$C$87*'Customer inputs'!$C$28,"")),"")</f>
        <v>0</v>
      </c>
      <c r="D88" s="30" t="n">
        <f aca="false">IF('ASRS options'!$D$52=1,IF('Customer inputs'!$C$28=0,0,IF(ISNUMBER('ASRS options'!$D$87),'ASRS options'!$D$87*'Customer inputs'!$C$28,"")),"")</f>
        <v>0</v>
      </c>
      <c r="E88" s="30" t="n">
        <f aca="false">IF('ASRS options'!$E$52=1,IF('Customer inputs'!$C$28=0,0,IF(ISNUMBER('ASRS options'!$E$87),'ASRS options'!$E$87*'Customer inputs'!$C$28,"")),"")</f>
        <v>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customFormat="false" ht="23" hidden="false" customHeight="true" outlineLevel="0" collapsed="false">
      <c r="A89" s="1"/>
      <c r="B89" s="1" t="s">
        <v>365</v>
      </c>
      <c r="C89" s="30" t="n">
        <f aca="false">IF('ASRS options'!$C$52=1,IF(AND(ISNUMBER('Customer inputs'!$C$77),ISNUMBER('ASRS options'!$C$88)),'Customer inputs'!$C$77+'ASRS options'!$C$88+'Customer inputs'!$C$29,""),"")</f>
        <v>0</v>
      </c>
      <c r="D89" s="30" t="n">
        <f aca="false">IF('ASRS options'!$D$52=1,IF(AND(ISNUMBER('Customer inputs'!$C$77),ISNUMBER('ASRS options'!$D$88)),'Customer inputs'!$C$77+'ASRS options'!$D$88+'Customer inputs'!$C$29,""),"")</f>
        <v>0</v>
      </c>
      <c r="E89" s="30" t="n">
        <f aca="false">IF('ASRS options'!$E$52=1,IF(AND(ISNUMBER('Customer inputs'!$C$77),ISNUMBER('ASRS options'!$E$88)),'Customer inputs'!$C$77+'ASRS options'!$E$88+'Customer inputs'!$C$29,""),"")</f>
        <v>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customFormat="false" ht="23" hidden="false" customHeight="true" outlineLevel="0" collapsed="false">
      <c r="A90" s="1"/>
      <c r="B90" s="1" t="s">
        <v>47</v>
      </c>
      <c r="C90" s="30" t="str">
        <f aca="false">IF('ASRS options'!$C$52=1,IF(AND(ISNUMBER('ASRS options'!$C$89),ISNUMBER('ASRS options'!$C$22)),'ASRS options'!$C$89-'ASRS options'!$C$22,""),"")</f>
        <v/>
      </c>
      <c r="D90" s="30" t="str">
        <f aca="false">IF('ASRS options'!$D$52=1,IF(AND(ISNUMBER('ASRS options'!$D$89),ISNUMBER('ASRS options'!$D$22)),'ASRS options'!$D$89-'ASRS options'!$D$22,""),"")</f>
        <v/>
      </c>
      <c r="E90" s="30" t="str">
        <f aca="false">IF('ASRS options'!$E$52=1,IF(AND(ISNUMBER('ASRS options'!$E$89),ISNUMBER('ASRS options'!$E$22)),'ASRS options'!$E$89-'ASRS options'!$E$22,""),"")</f>
        <v/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customFormat="false" ht="23" hidden="false" customHeight="true" outlineLevel="0" collapsed="false">
      <c r="A91" s="1"/>
      <c r="B91" s="1" t="s">
        <v>366</v>
      </c>
      <c r="C91" s="30" t="str">
        <f aca="false">IF('ASRS options'!$C$52=1,IF(AND(ISNUMBER('ASRS options'!$C$89),ISNUMBER('ASRS options'!$C$22)),'ASRS options'!$C$89*'Customer inputs'!$C$51-'ASRS options'!$C$22,""),"")</f>
        <v/>
      </c>
      <c r="D91" s="30" t="str">
        <f aca="false">IF('ASRS options'!$D$52=1,IF(AND(ISNUMBER('ASRS options'!$D$89),ISNUMBER('ASRS options'!$D$22)),'ASRS options'!$D$89*'Customer inputs'!$C$51-'ASRS options'!$D$22,""),"")</f>
        <v/>
      </c>
      <c r="E91" s="30" t="str">
        <f aca="false">IF('ASRS options'!$E$52=1,IF(AND(ISNUMBER('ASRS options'!$E$89),ISNUMBER('ASRS options'!$E$22)),'ASRS options'!$E$89*'Customer inputs'!$C$51-'ASRS options'!$E$22,""),"")</f>
        <v/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customFormat="false" ht="23" hidden="false" customHeight="true" outlineLevel="0" collapsed="false">
      <c r="A92" s="1"/>
      <c r="B92" s="1" t="s">
        <v>49</v>
      </c>
      <c r="C92" s="30" t="str">
        <f aca="false">IF('ASRS options'!$C$52=1,IF(AND(ISNUMBER('ASRS options'!$C$21),'ASRS options'!$C$21&gt;0,ISNUMBER('ASRS options'!$C$90),'ASRS options'!$C$90&gt;0,ISNUMBER('ASRS options'!$C$91)),IF('ASRS options'!$C$91&gt;='ASRS options'!$C$21,'ASRS options'!$C$21/'ASRS options'!$C$91,1+('ASRS options'!$C$21-'ASRS options'!$C$91)/'ASRS options'!$C$90),""),"")</f>
        <v/>
      </c>
      <c r="D92" s="30" t="str">
        <f aca="false">IF('ASRS options'!$D$52=1,IF(AND(ISNUMBER('ASRS options'!$D$21),'ASRS options'!$D$21&gt;0,ISNUMBER('ASRS options'!$D$90),'ASRS options'!$D$90&gt;0,ISNUMBER('ASRS options'!$D$91)),IF('ASRS options'!$D$91&gt;='ASRS options'!$D$21,'ASRS options'!$D$21/'ASRS options'!$D$91,1+('ASRS options'!$D$21-'ASRS options'!$D$91)/'ASRS options'!$D$90),""),"")</f>
        <v/>
      </c>
      <c r="E92" s="30" t="str">
        <f aca="false">IF('ASRS options'!$E$52=1,IF(AND(ISNUMBER('ASRS options'!$E$21),'ASRS options'!$E$21&gt;0,ISNUMBER('ASRS options'!$E$90),'ASRS options'!$E$90&gt;0,ISNUMBER('ASRS options'!$E$91)),IF('ASRS options'!$E$91&gt;='ASRS options'!$E$21,'ASRS options'!$E$21/'ASRS options'!$E$91,1+('ASRS options'!$E$21-'ASRS options'!$E$91)/'ASRS options'!$E$90),""),"")</f>
        <v/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customFormat="false" ht="23" hidden="false" customHeight="true" outlineLevel="0" collapsed="false">
      <c r="A93" s="1"/>
      <c r="B93" s="1" t="s">
        <v>367</v>
      </c>
      <c r="C93" s="30" t="str">
        <f aca="false">IF('ASRS options'!$C$52=1,IF(AND(ISNUMBER('ASRS options'!$C$21),'ASRS options'!$C$21&gt;0,ISNUMBER('ASRS options'!$C$91),ISNUMBER('ASRS options'!$C$90)),'ASRS options'!$C$91+4*'ASRS options'!$C$90-'ASRS options'!$C$21,""),"")</f>
        <v/>
      </c>
      <c r="D93" s="30" t="str">
        <f aca="false">IF('ASRS options'!$D$52=1,IF(AND(ISNUMBER('ASRS options'!$D$21),'ASRS options'!$D$21&gt;0,ISNUMBER('ASRS options'!$D$91),ISNUMBER('ASRS options'!$D$90)),'ASRS options'!$D$91+4*'ASRS options'!$D$90-'ASRS options'!$D$21,""),"")</f>
        <v/>
      </c>
      <c r="E93" s="30" t="str">
        <f aca="false">IF('ASRS options'!$E$52=1,IF(AND(ISNUMBER('ASRS options'!$E$21),'ASRS options'!$E$21&gt;0,ISNUMBER('ASRS options'!$E$91),ISNUMBER('ASRS options'!$E$90)),'ASRS options'!$E$91+4*'ASRS options'!$E$90-'ASRS options'!$E$21,""),"")</f>
        <v/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customFormat="false" ht="23" hidden="false" customHeight="true" outlineLevel="0" collapsed="false">
      <c r="A94" s="1"/>
      <c r="B94" s="1" t="s">
        <v>51</v>
      </c>
      <c r="C94" s="30" t="str">
        <f aca="false">IF('ASRS options'!$C$52=1,IF(AND(ISNUMBER('ASRS options'!$C$21),'ASRS options'!$C$21&gt;0,ISNUMBER('ASRS options'!$C$93)),'ASRS options'!$C$93/'ASRS options'!$C$21,""),"")</f>
        <v/>
      </c>
      <c r="D94" s="30" t="str">
        <f aca="false">IF('ASRS options'!$D$52=1,IF(AND(ISNUMBER('ASRS options'!$D$21),'ASRS options'!$D$21&gt;0,ISNUMBER('ASRS options'!$D$93)),'ASRS options'!$D$93/'ASRS options'!$D$21,""),"")</f>
        <v/>
      </c>
      <c r="E94" s="30" t="str">
        <f aca="false">IF('ASRS options'!$E$52=1,IF(AND(ISNUMBER('ASRS options'!$E$21),'ASRS options'!$E$21&gt;0,ISNUMBER('ASRS options'!$E$93)),'ASRS options'!$E$93/'ASRS options'!$E$21,""),"")</f>
        <v/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customFormat="false" ht="23" hidden="false" customHeight="true" outlineLevel="0" collapsed="false">
      <c r="A95" s="1"/>
      <c r="B95" s="1" t="s">
        <v>53</v>
      </c>
      <c r="C95" s="30" t="str">
        <f aca="false">IF('ASRS options'!$C$52=1,IF(AND(ISNUMBER('ASRS options'!$C$21),'ASRS options'!$C$21&gt;0,ISNUMBER('ASRS options'!$C$91),ISNUMBER('ASRS options'!$C$90)),'ASRS options'!$C$91/(1+'Customer inputs'!$C$52)+'ASRS options'!$C$90/POWER(1+'Customer inputs'!$C$52,2)+'ASRS options'!$C$90/POWER(1+'Customer inputs'!$C$52,3)+'ASRS options'!$C$90/POWER(1+'Customer inputs'!$C$52,4)+'ASRS options'!$C$90/POWER(1+'Customer inputs'!$C$52,5)-'ASRS options'!$C$21,""),"")</f>
        <v/>
      </c>
      <c r="D95" s="30" t="str">
        <f aca="false">IF('ASRS options'!$D$52=1,IF(AND(ISNUMBER('ASRS options'!$D$21),'ASRS options'!$D$21&gt;0,ISNUMBER('ASRS options'!$D$91),ISNUMBER('ASRS options'!$D$90)),'ASRS options'!$D$91/(1+'Customer inputs'!$C$52)+'ASRS options'!$D$90/POWER(1+'Customer inputs'!$C$52,2)+'ASRS options'!$D$90/POWER(1+'Customer inputs'!$C$52,3)+'ASRS options'!$D$90/POWER(1+'Customer inputs'!$C$52,4)+'ASRS options'!$D$90/POWER(1+'Customer inputs'!$C$52,5)-'ASRS options'!$D$21,""),"")</f>
        <v/>
      </c>
      <c r="E95" s="30" t="str">
        <f aca="false">IF('ASRS options'!$E$52=1,IF(AND(ISNUMBER('ASRS options'!$E$21),'ASRS options'!$E$21&gt;0,ISNUMBER('ASRS options'!$E$91),ISNUMBER('ASRS options'!$E$90)),'ASRS options'!$E$91/(1+'Customer inputs'!$C$52)+'ASRS options'!$E$90/POWER(1+'Customer inputs'!$C$52,2)+'ASRS options'!$E$90/POWER(1+'Customer inputs'!$C$52,3)+'ASRS options'!$E$90/POWER(1+'Customer inputs'!$C$52,4)+'ASRS options'!$E$90/POWER(1+'Customer inputs'!$C$52,5)-'ASRS options'!$E$21,""),"")</f>
        <v/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customFormat="false" ht="23" hidden="false" customHeight="true" outlineLevel="0" collapsed="false">
      <c r="A96" s="1"/>
      <c r="B96" s="1" t="s">
        <v>368</v>
      </c>
      <c r="C96" s="30" t="str">
        <f aca="false">IF('ASRS options'!$C$52=1,IF(AND(ISNUMBER('ASRS options'!$C$46),'ASRS options'!$C$46&gt;0),'ASRS options'!$C$26*3600/'ASRS options'!$C$46*'ASRS options'!$C$47,""),"")</f>
        <v/>
      </c>
      <c r="D96" s="30" t="str">
        <f aca="false">IF('ASRS options'!$D$52=1,IF(AND(ISNUMBER('ASRS options'!$D$46),'ASRS options'!$D$46&gt;0),'ASRS options'!$D$26*3600/'ASRS options'!$D$46*'ASRS options'!$D$47,""),"")</f>
        <v/>
      </c>
      <c r="E96" s="30" t="str">
        <f aca="false">IF('ASRS options'!$E$52=1,IF(AND(ISNUMBER('ASRS options'!$E$46),'ASRS options'!$E$46&gt;0),'ASRS options'!$E$26*3600/'ASRS options'!$E$46*'ASRS options'!$E$47,""),"")</f>
        <v/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customFormat="false" ht="23" hidden="false" customHeight="true" outlineLevel="0" collapsed="false">
      <c r="A97" s="1"/>
      <c r="B97" s="1" t="s">
        <v>369</v>
      </c>
      <c r="C97" s="30" t="str">
        <f aca="false">IF('ASRS options'!$C$52=1,IF(OR('Customer inputs'!$C$49="",'Customer inputs'!$C$50=""),"Survey required",IF(AND('ASRS options'!$C$57&lt;='Customer inputs'!$C$49,'ASRS options'!$C$58&lt;='Customer inputs'!$C$50),"Fits entered zone","Exceeds entered zone")),"")</f>
        <v>Survey required</v>
      </c>
      <c r="D97" s="30" t="str">
        <f aca="false">IF('ASRS options'!$D$52=1,IF(OR('Customer inputs'!$C$49="",'Customer inputs'!$C$50=""),"Survey required",IF(AND('ASRS options'!$D$57&lt;='Customer inputs'!$C$49,'ASRS options'!$D$58&lt;='Customer inputs'!$C$50),"Fits entered zone","Exceeds entered zone")),"")</f>
        <v>Survey required</v>
      </c>
      <c r="E97" s="30" t="str">
        <f aca="false">IF('ASRS options'!$E$52=1,IF(OR('Customer inputs'!$C$49="",'Customer inputs'!$C$50=""),"Survey required",IF(AND('ASRS options'!$E$57&lt;='Customer inputs'!$C$49,'ASRS options'!$E$58&lt;='Customer inputs'!$C$50),"Fits entered zone","Exceeds entered zone")),"")</f>
        <v>Survey required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customFormat="false" ht="23" hidden="false" customHeight="true" outlineLevel="0" collapsed="false">
      <c r="A98" s="1"/>
      <c r="B98" s="1" t="s">
        <v>370</v>
      </c>
      <c r="C98" s="30" t="str">
        <f aca="false">IF('ASRS options'!$C$52=1,IF(OR('ASRS options'!$C$48="",'ASRS options'!$C$49=""),"Weighing / rating required",IF('ASRS options'!$C$48&lt;='ASRS options'!$C$49,"Within entered rating","Exceeds entered rating")),"")</f>
        <v>Weighing / rating required</v>
      </c>
      <c r="D98" s="30" t="str">
        <f aca="false">IF('ASRS options'!$D$52=1,IF(OR('ASRS options'!$D$48="",'ASRS options'!$D$49=""),"Weighing / rating required",IF('ASRS options'!$D$48&lt;='ASRS options'!$D$49,"Within entered rating","Exceeds entered rating")),"")</f>
        <v>Weighing / rating required</v>
      </c>
      <c r="E98" s="30" t="str">
        <f aca="false">IF('ASRS options'!$E$52=1,IF(OR('ASRS options'!$E$48="",'ASRS options'!$E$49=""),"Weighing / rating required",IF('ASRS options'!$E$48&lt;='ASRS options'!$E$49,"Within entered rating","Exceeds entered rating")),"")</f>
        <v>Weighing / rating required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customFormat="false" ht="23" hidden="false" customHeight="true" outlineLevel="0" collapsed="false">
      <c r="A99" s="1"/>
      <c r="B99" s="1" t="s">
        <v>371</v>
      </c>
      <c r="C99" s="30" t="str">
        <f aca="false">IF('ASRS options'!$C$52=1,IF(OR('ASRS options'!$C$45="",'ASRS options'!$C$46=""),"POC timing required",IF('ASRS options'!$C$96&gt;='ASRS options'!$C$45,"Meets entered demand","Below peak demand")),"")</f>
        <v>POC timing required</v>
      </c>
      <c r="D99" s="30" t="str">
        <f aca="false">IF('ASRS options'!$D$52=1,IF(OR('ASRS options'!$D$45="",'ASRS options'!$D$46=""),"POC timing required",IF('ASRS options'!$D$96&gt;='ASRS options'!$D$45,"Meets entered demand","Below peak demand")),"")</f>
        <v>POC timing required</v>
      </c>
      <c r="E99" s="30" t="str">
        <f aca="false">IF('ASRS options'!$E$52=1,IF(OR('ASRS options'!$E$45="",'ASRS options'!$E$46=""),"POC timing required",IF('ASRS options'!$E$96&gt;='ASRS options'!$E$45,"Meets entered demand","Below peak demand")),"")</f>
        <v>POC timing required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customFormat="false" ht="23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customFormat="false" ht="23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customFormat="false" ht="23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customFormat="false" ht="23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customFormat="false" ht="23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customFormat="false" ht="23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customFormat="false" ht="23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customFormat="false" ht="23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customFormat="false" ht="23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customFormat="false" ht="23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customFormat="false" ht="23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customFormat="false" ht="23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customFormat="false" ht="23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customFormat="false" ht="23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customFormat="false" ht="23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customFormat="false" ht="23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customFormat="false" ht="23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customFormat="false" ht="23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customFormat="false" ht="23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customFormat="false" ht="23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customFormat="false" ht="23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customFormat="false" ht="23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customFormat="false" ht="23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customFormat="false" ht="23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customFormat="false" ht="23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customFormat="false" ht="23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customFormat="false" ht="23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customFormat="false" ht="23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customFormat="false" ht="23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customFormat="false" ht="23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customFormat="false" ht="23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customFormat="false" ht="23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customFormat="false" ht="23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customFormat="false" ht="23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customFormat="false" ht="23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customFormat="false" ht="23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customFormat="false" ht="23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customFormat="false" ht="23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customFormat="false" ht="23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customFormat="false" ht="23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customFormat="false" ht="23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customFormat="false" ht="23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customFormat="false" ht="23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customFormat="false" ht="23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customFormat="false" ht="23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customFormat="false" ht="23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customFormat="false" ht="23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customFormat="false" ht="23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customFormat="false" ht="23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customFormat="false" ht="23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customFormat="false" ht="23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customFormat="false" ht="23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customFormat="false" ht="23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customFormat="false" ht="23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customFormat="false" ht="23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customFormat="false" ht="23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customFormat="false" ht="23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customFormat="false" ht="23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customFormat="false" ht="23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customFormat="false" ht="23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customFormat="false" ht="23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customFormat="false" ht="23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customFormat="false" ht="23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customFormat="false" ht="23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customFormat="false" ht="23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customFormat="false" ht="23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customFormat="false" ht="23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customFormat="false" ht="23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customFormat="false" ht="23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customFormat="false" ht="23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customFormat="false" ht="23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customFormat="false" ht="23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customFormat="false" ht="23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customFormat="false" ht="23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customFormat="false" ht="23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customFormat="false" ht="23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customFormat="false" ht="23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customFormat="false" ht="23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customFormat="false" ht="23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customFormat="false" ht="23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customFormat="false" ht="23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customFormat="false" ht="23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customFormat="false" ht="23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customFormat="false" ht="23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customFormat="false" ht="23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customFormat="false" ht="23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customFormat="false" ht="23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customFormat="false" ht="23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customFormat="false" ht="23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customFormat="false" ht="23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customFormat="false" ht="23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customFormat="false" ht="23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customFormat="false" ht="23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customFormat="false" ht="23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customFormat="false" ht="23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customFormat="false" ht="23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customFormat="false" ht="23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customFormat="false" ht="23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customFormat="false" ht="23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customFormat="false" ht="23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customFormat="false" ht="23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customFormat="false" ht="23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customFormat="false" ht="23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customFormat="false" ht="23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customFormat="false" ht="23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customFormat="false" ht="23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customFormat="false" ht="23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customFormat="false" ht="23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customFormat="false" ht="23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customFormat="false" ht="23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customFormat="false" ht="23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customFormat="false" ht="23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customFormat="false" ht="23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customFormat="false" ht="23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customFormat="false" ht="23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customFormat="false" ht="23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customFormat="false" ht="23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customFormat="false" ht="23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</sheetData>
  <dataValidations count="39">
    <dataValidation allowBlank="false" errorStyle="stop" operator="between" showDropDown="false" showErrorMessage="false" showInputMessage="false" sqref="C7" type="whole">
      <formula1>1</formula1>
      <formula2>1000000000</formula2>
    </dataValidation>
    <dataValidation allowBlank="false" errorStyle="stop" operator="between" showDropDown="false" showErrorMessage="false" showInputMessage="false" sqref="D7" type="whole">
      <formula1>1</formula1>
      <formula2>1000000000</formula2>
    </dataValidation>
    <dataValidation allowBlank="false" errorStyle="stop" operator="between" showDropDown="false" showErrorMessage="false" showInputMessage="false" sqref="E7" type="whole">
      <formula1>1</formula1>
      <formula2>1000000000</formula2>
    </dataValidation>
    <dataValidation allowBlank="false" errorStyle="stop" operator="between" showDropDown="false" showErrorMessage="false" showInputMessage="false" sqref="C8" type="whole">
      <formula1>1</formula1>
      <formula2>1000000000</formula2>
    </dataValidation>
    <dataValidation allowBlank="false" errorStyle="stop" operator="between" showDropDown="false" showErrorMessage="false" showInputMessage="false" sqref="D8" type="whole">
      <formula1>1</formula1>
      <formula2>1000000000</formula2>
    </dataValidation>
    <dataValidation allowBlank="false" errorStyle="stop" operator="between" showDropDown="false" showErrorMessage="false" showInputMessage="false" sqref="E8" type="whole">
      <formula1>1</formula1>
      <formula2>1000000000</formula2>
    </dataValidation>
    <dataValidation allowBlank="false" errorStyle="stop" operator="between" showDropDown="false" showErrorMessage="false" showInputMessage="false" sqref="C9" type="whole">
      <formula1>1</formula1>
      <formula2>1000000000</formula2>
    </dataValidation>
    <dataValidation allowBlank="false" errorStyle="stop" operator="between" showDropDown="false" showErrorMessage="false" showInputMessage="false" sqref="D9" type="whole">
      <formula1>1</formula1>
      <formula2>1000000000</formula2>
    </dataValidation>
    <dataValidation allowBlank="false" errorStyle="stop" operator="between" showDropDown="false" showErrorMessage="false" showInputMessage="false" sqref="E9" type="whole">
      <formula1>1</formula1>
      <formula2>1000000000</formula2>
    </dataValidation>
    <dataValidation allowBlank="false" errorStyle="stop" operator="between" showDropDown="false" showErrorMessage="false" showInputMessage="false" sqref="C10" type="whole">
      <formula1>1</formula1>
      <formula2>1000000000</formula2>
    </dataValidation>
    <dataValidation allowBlank="false" errorStyle="stop" operator="between" showDropDown="false" showErrorMessage="false" showInputMessage="false" sqref="D10" type="whole">
      <formula1>1</formula1>
      <formula2>1000000000</formula2>
    </dataValidation>
    <dataValidation allowBlank="false" errorStyle="stop" operator="between" showDropDown="false" showErrorMessage="false" showInputMessage="false" sqref="E10" type="whole">
      <formula1>1</formula1>
      <formula2>1000000000</formula2>
    </dataValidation>
    <dataValidation allowBlank="false" errorStyle="stop" operator="between" showDropDown="false" showErrorMessage="false" showInputMessage="false" sqref="C11" type="whole">
      <formula1>0</formula1>
      <formula2>1000000000</formula2>
    </dataValidation>
    <dataValidation allowBlank="false" errorStyle="stop" operator="between" showDropDown="false" showErrorMessage="false" showInputMessage="false" sqref="D11" type="whole">
      <formula1>0</formula1>
      <formula2>1000000000</formula2>
    </dataValidation>
    <dataValidation allowBlank="false" errorStyle="stop" operator="between" showDropDown="false" showErrorMessage="false" showInputMessage="false" sqref="E11" type="whole">
      <formula1>0</formula1>
      <formula2>1000000000</formula2>
    </dataValidation>
    <dataValidation allowBlank="false" errorStyle="stop" operator="between" showDropDown="false" showErrorMessage="false" showInputMessage="false" sqref="C12" type="decimal">
      <formula1>0.01</formula1>
      <formula2>1</formula2>
    </dataValidation>
    <dataValidation allowBlank="false" errorStyle="stop" operator="between" showDropDown="false" showErrorMessage="false" showInputMessage="false" sqref="D12" type="decimal">
      <formula1>0.01</formula1>
      <formula2>1</formula2>
    </dataValidation>
    <dataValidation allowBlank="false" errorStyle="stop" operator="between" showDropDown="false" showErrorMessage="false" showInputMessage="false" sqref="E12" type="decimal">
      <formula1>0.01</formula1>
      <formula2>1</formula2>
    </dataValidation>
    <dataValidation allowBlank="false" errorStyle="stop" operator="between" showDropDown="false" showErrorMessage="false" showInputMessage="false" sqref="C13" type="decimal">
      <formula1>0</formula1>
      <formula2>1000000000</formula2>
    </dataValidation>
    <dataValidation allowBlank="false" errorStyle="stop" operator="between" showDropDown="false" showErrorMessage="false" showInputMessage="false" sqref="D13" type="decimal">
      <formula1>0</formula1>
      <formula2>1000000000</formula2>
    </dataValidation>
    <dataValidation allowBlank="false" errorStyle="stop" operator="between" showDropDown="false" showErrorMessage="false" showInputMessage="false" sqref="E13" type="decimal">
      <formula1>0</formula1>
      <formula2>1000000000</formula2>
    </dataValidation>
    <dataValidation allowBlank="false" errorStyle="stop" operator="between" showDropDown="false" showErrorMessage="false" showInputMessage="false" sqref="C15" type="decimal">
      <formula1>0.001</formula1>
      <formula2>1000000000</formula2>
    </dataValidation>
    <dataValidation allowBlank="false" errorStyle="stop" operator="between" showDropDown="false" showErrorMessage="false" showInputMessage="false" sqref="D15" type="decimal">
      <formula1>0.001</formula1>
      <formula2>1000000000</formula2>
    </dataValidation>
    <dataValidation allowBlank="false" errorStyle="stop" operator="between" showDropDown="false" showErrorMessage="false" showInputMessage="false" sqref="E15" type="decimal">
      <formula1>0.001</formula1>
      <formula2>1000000000</formula2>
    </dataValidation>
    <dataValidation allowBlank="false" errorStyle="stop" operator="between" showDropDown="false" showErrorMessage="false" showInputMessage="false" sqref="C17" type="decimal">
      <formula1>0.001</formula1>
      <formula2>1000000000</formula2>
    </dataValidation>
    <dataValidation allowBlank="false" errorStyle="stop" operator="between" showDropDown="false" showErrorMessage="false" showInputMessage="false" sqref="D17" type="decimal">
      <formula1>0.001</formula1>
      <formula2>1000000000</formula2>
    </dataValidation>
    <dataValidation allowBlank="false" errorStyle="stop" operator="between" showDropDown="false" showErrorMessage="false" showInputMessage="false" sqref="E17" type="decimal">
      <formula1>0.001</formula1>
      <formula2>1000000000</formula2>
    </dataValidation>
    <dataValidation allowBlank="false" errorStyle="stop" operator="between" showDropDown="false" showErrorMessage="false" showInputMessage="false" sqref="C18" type="decimal">
      <formula1>0.001</formula1>
      <formula2>1000000000</formula2>
    </dataValidation>
    <dataValidation allowBlank="false" errorStyle="stop" operator="between" showDropDown="false" showErrorMessage="false" showInputMessage="false" sqref="D18" type="decimal">
      <formula1>0.001</formula1>
      <formula2>1000000000</formula2>
    </dataValidation>
    <dataValidation allowBlank="false" errorStyle="stop" operator="between" showDropDown="false" showErrorMessage="false" showInputMessage="false" sqref="E18" type="decimal">
      <formula1>0.001</formula1>
      <formula2>1000000000</formula2>
    </dataValidation>
    <dataValidation allowBlank="false" errorStyle="stop" operator="between" showDropDown="false" showErrorMessage="false" showInputMessage="false" sqref="C19" type="decimal">
      <formula1>0.01</formula1>
      <formula2>1</formula2>
    </dataValidation>
    <dataValidation allowBlank="false" errorStyle="stop" operator="between" showDropDown="false" showErrorMessage="false" showInputMessage="false" sqref="D19" type="decimal">
      <formula1>0.01</formula1>
      <formula2>1</formula2>
    </dataValidation>
    <dataValidation allowBlank="false" errorStyle="stop" operator="between" showDropDown="false" showErrorMessage="false" showInputMessage="false" sqref="E19" type="decimal">
      <formula1>0.01</formula1>
      <formula2>1</formula2>
    </dataValidation>
    <dataValidation allowBlank="false" errorStyle="stop" operator="between" showDropDown="false" showErrorMessage="false" showInputMessage="false" sqref="C21" type="decimal">
      <formula1>0</formula1>
      <formula2>1000000000</formula2>
    </dataValidation>
    <dataValidation allowBlank="false" errorStyle="stop" operator="between" showDropDown="false" showErrorMessage="false" showInputMessage="false" sqref="D21" type="decimal">
      <formula1>0</formula1>
      <formula2>1000000000</formula2>
    </dataValidation>
    <dataValidation allowBlank="false" errorStyle="stop" operator="between" showDropDown="false" showErrorMessage="false" showInputMessage="false" sqref="E21" type="decimal">
      <formula1>0</formula1>
      <formula2>1000000000</formula2>
    </dataValidation>
    <dataValidation allowBlank="false" errorStyle="stop" operator="between" showDropDown="false" showErrorMessage="false" showInputMessage="false" sqref="C22" type="decimal">
      <formula1>0</formula1>
      <formula2>1000000000</formula2>
    </dataValidation>
    <dataValidation allowBlank="false" errorStyle="stop" operator="between" showDropDown="false" showErrorMessage="false" showInputMessage="false" sqref="D22" type="decimal">
      <formula1>0</formula1>
      <formula2>1000000000</formula2>
    </dataValidation>
    <dataValidation allowBlank="false" errorStyle="stop" operator="between" showDropDown="false" showErrorMessage="false" showInputMessage="false" sqref="E22" type="decimal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1F3A"/>
    <pageSetUpPr fitToPage="false"/>
  </sheetPr>
  <dimension ref="A1:R4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3"/>
    <col collapsed="false" customWidth="true" hidden="false" outlineLevel="0" max="3" min="3" style="0" width="23"/>
    <col collapsed="false" customWidth="true" hidden="false" outlineLevel="0" max="8" min="4" style="0" width="22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3" hidden="false" customHeight="true" outlineLevel="0" collapsed="false">
      <c r="A2" s="1"/>
      <c r="B2" s="2" t="s">
        <v>372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Format="false" ht="23" hidden="false" customHeight="true" outlineLevel="0" collapsed="false">
      <c r="A3" s="1"/>
      <c r="B3" s="3" t="s">
        <v>373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customFormat="false" ht="23" hidden="false" customHeight="true" outlineLevel="0" collapsed="false">
      <c r="A4" s="1"/>
      <c r="B4" s="4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</row>
    <row r="5" customFormat="false" ht="23" hidden="false" customHeight="true" outlineLevel="0" collapsed="false">
      <c r="A5" s="1"/>
      <c r="B5" s="5" t="s">
        <v>374</v>
      </c>
      <c r="C5" s="5"/>
      <c r="D5" s="5"/>
      <c r="E5" s="5"/>
      <c r="F5" s="5"/>
      <c r="G5" s="5"/>
      <c r="H5" s="5"/>
      <c r="I5" s="1"/>
      <c r="J5" s="1"/>
      <c r="K5" s="1"/>
      <c r="L5" s="1"/>
      <c r="M5" s="1"/>
      <c r="N5" s="1"/>
      <c r="O5" s="1"/>
      <c r="P5" s="1"/>
      <c r="Q5" s="1"/>
      <c r="R5" s="1"/>
    </row>
    <row r="6" customFormat="false" ht="23" hidden="false" customHeight="true" outlineLevel="0" collapsed="false">
      <c r="A6" s="1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</row>
    <row r="7" customFormat="false" ht="23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customFormat="false" ht="23" hidden="false" customHeight="true" outlineLevel="0" collapsed="false">
      <c r="A8" s="1"/>
      <c r="B8" s="31" t="str">
        <f aca="false">HYPERLINK("#'Visual guide'!B12","1. Start here")</f>
        <v>1. Start here</v>
      </c>
      <c r="C8" s="1"/>
      <c r="D8" s="31" t="str">
        <f aca="false">HYPERLINK("#'Visual guide'!B41","2. Trolley outside size")</f>
        <v>2. Trolley outside size</v>
      </c>
      <c r="E8" s="1"/>
      <c r="F8" s="31" t="str">
        <f aca="false">HYPERLINK("#'Visual guide'!B70","3. Shelf space")</f>
        <v>3. Shelf space</v>
      </c>
      <c r="G8" s="1"/>
      <c r="H8" s="31" t="str">
        <f aca="false">HYPERLINK("#'Visual guide'!B99","4. Tray size")</f>
        <v>4. Tray size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customFormat="false" ht="23" hidden="false" customHeight="true" outlineLevel="0" collapsed="false">
      <c r="A9" s="1"/>
      <c r="B9" s="31" t="str">
        <f aca="false">HYPERLINK("#'Visual guide'!B128","5. Rack rows and levels")</f>
        <v>5. Rack rows and levels</v>
      </c>
      <c r="C9" s="1"/>
      <c r="D9" s="31" t="str">
        <f aca="false">HYPERLINK("#'Visual guide'!B157","6. Height and gaps")</f>
        <v>6. Height and gaps</v>
      </c>
      <c r="E9" s="1"/>
      <c r="F9" s="31" t="str">
        <f aca="false">HYPERLINK("#'Visual guide'!B186","7. Filled and empty spaces")</f>
        <v>7. Filled and empty spaces</v>
      </c>
      <c r="G9" s="1"/>
      <c r="H9" s="31" t="str">
        <f aca="false">HYPERLINK("#'Visual guide'!B215","8. Blocked spaces")</f>
        <v>8. Blocked spaces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customFormat="false" ht="23" hidden="false" customHeight="true" outlineLevel="0" collapsed="false">
      <c r="A10" s="1"/>
      <c r="B10" s="31" t="str">
        <f aca="false">HYPERLINK("#'Visual guide'!B244","9. Floor space")</f>
        <v>9. Floor space</v>
      </c>
      <c r="C10" s="1"/>
      <c r="D10" s="31" t="str">
        <f aca="false">HYPERLINK("#'Visual guide'!B273","10. Trolleys to keep")</f>
        <v>10. Trolleys to keep</v>
      </c>
      <c r="E10" s="1"/>
      <c r="F10" s="31" t="str">
        <f aca="false">HYPERLINK("#'Visual guide'!B302","11. Time saved")</f>
        <v>11. Time saved</v>
      </c>
      <c r="G10" s="1"/>
      <c r="H10" s="31" t="str">
        <f aca="false">HYPERLINK("#'Visual guide'!B331","12. Money saved")</f>
        <v>12. Money saved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customFormat="false" ht="23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customFormat="false" ht="23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customFormat="false" ht="23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customFormat="false" ht="23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23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customFormat="false" ht="23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customFormat="false" ht="23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customFormat="false" ht="23" hidden="false" customHeight="tru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customFormat="false" ht="23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customFormat="false" ht="23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23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customFormat="false" ht="23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customFormat="false" ht="23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customFormat="false" ht="23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customFormat="false" ht="23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customFormat="false" ht="23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customFormat="false" ht="23" hidden="false" customHeight="tru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customFormat="false" ht="23" hidden="false" customHeight="tru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customFormat="false" ht="23" hidden="false" customHeight="tru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customFormat="false" ht="23" hidden="false" customHeight="tru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customFormat="false" ht="23" hidden="false" customHeight="tru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customFormat="false" ht="23" hidden="false" customHeight="tru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customFormat="false" ht="23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customFormat="false" ht="23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customFormat="false" ht="23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customFormat="false" ht="23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customFormat="false" ht="23" hidden="false" customHeight="tru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customFormat="false" ht="23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customFormat="false" ht="23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customFormat="false" ht="23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customFormat="false" ht="23" hidden="false" customHeight="tru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customFormat="false" ht="23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customFormat="false" ht="23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customFormat="false" ht="23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customFormat="false" ht="23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customFormat="false" ht="23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customFormat="false" ht="23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customFormat="false" ht="23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customFormat="false" ht="23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customFormat="false" ht="23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customFormat="false" ht="23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customFormat="false" ht="23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customFormat="false" ht="23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customFormat="false" ht="23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customFormat="false" ht="23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customFormat="false" ht="23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customFormat="false" ht="23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customFormat="false" ht="23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customFormat="false" ht="23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customFormat="false" ht="23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customFormat="false" ht="23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customFormat="false" ht="23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customFormat="false" ht="23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customFormat="false" ht="23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customFormat="false" ht="23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customFormat="false" ht="23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customFormat="false" ht="23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customFormat="false" ht="23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customFormat="false" ht="23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customFormat="false" ht="23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customFormat="false" ht="23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customFormat="false" ht="23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customFormat="false" ht="23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customFormat="false" ht="23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customFormat="false" ht="23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customFormat="false" ht="23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customFormat="false" ht="23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customFormat="false" ht="23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customFormat="false" ht="23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customFormat="false" ht="23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customFormat="false" ht="23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customFormat="false" ht="23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customFormat="false" ht="23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customFormat="false" ht="23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customFormat="false" ht="23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customFormat="false" ht="23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customFormat="false" ht="23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customFormat="false" ht="23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customFormat="false" ht="23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customFormat="false" ht="23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customFormat="false" ht="23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customFormat="false" ht="23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customFormat="false" ht="23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customFormat="false" ht="23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customFormat="false" ht="23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customFormat="false" ht="23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customFormat="false" ht="23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customFormat="false" ht="23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customFormat="false" ht="23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customFormat="false" ht="23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customFormat="false" ht="23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customFormat="false" ht="23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customFormat="false" ht="23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customFormat="false" ht="23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customFormat="false" ht="23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customFormat="false" ht="23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customFormat="false" ht="23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customFormat="false" ht="23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customFormat="false" ht="23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customFormat="false" ht="23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customFormat="false" ht="23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customFormat="false" ht="23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customFormat="false" ht="23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customFormat="false" ht="23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customFormat="false" ht="23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customFormat="false" ht="23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customFormat="false" ht="23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customFormat="false" ht="23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customFormat="false" ht="23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customFormat="false" ht="23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customFormat="false" ht="23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customFormat="false" ht="23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customFormat="false" ht="23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customFormat="false" ht="23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customFormat="false" ht="23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customFormat="false" ht="23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customFormat="false" ht="23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customFormat="false" ht="23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customFormat="false" ht="23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customFormat="false" ht="23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customFormat="false" ht="23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customFormat="false" ht="23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customFormat="false" ht="23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customFormat="false" ht="23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customFormat="false" ht="23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customFormat="false" ht="23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customFormat="false" ht="23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customFormat="false" ht="23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customFormat="false" ht="23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customFormat="false" ht="23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customFormat="false" ht="23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customFormat="false" ht="23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customFormat="false" ht="23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customFormat="false" ht="23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customFormat="false" ht="23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customFormat="false" ht="23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customFormat="false" ht="23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customFormat="false" ht="23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customFormat="false" ht="23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customFormat="false" ht="23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customFormat="false" ht="23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customFormat="false" ht="23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customFormat="false" ht="23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customFormat="false" ht="23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customFormat="false" ht="23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customFormat="false" ht="23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customFormat="false" ht="23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customFormat="false" ht="23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customFormat="false" ht="23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customFormat="false" ht="23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customFormat="false" ht="23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customFormat="false" ht="23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customFormat="false" ht="23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customFormat="false" ht="23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customFormat="false" ht="23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customFormat="false" ht="23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customFormat="false" ht="23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customFormat="false" ht="23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customFormat="false" ht="23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customFormat="false" ht="23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customFormat="false" ht="23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customFormat="false" ht="23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customFormat="false" ht="23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customFormat="false" ht="23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customFormat="false" ht="23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customFormat="false" ht="23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customFormat="false" ht="23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customFormat="false" ht="23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customFormat="false" ht="23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customFormat="false" ht="23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customFormat="false" ht="23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customFormat="false" ht="23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customFormat="false" ht="23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customFormat="false" ht="23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customFormat="false" ht="23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customFormat="false" ht="23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customFormat="false" ht="23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customFormat="false" ht="23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customFormat="false" ht="23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customFormat="false" ht="23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customFormat="false" ht="23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customFormat="false" ht="23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customFormat="false" ht="23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customFormat="false" ht="23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customFormat="false" ht="23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customFormat="false" ht="23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customFormat="false" ht="23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customFormat="false" ht="23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customFormat="false" ht="23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customFormat="false" ht="23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customFormat="false" ht="23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customFormat="false" ht="23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customFormat="false" ht="23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customFormat="false" ht="23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customFormat="false" ht="23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customFormat="false" ht="23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customFormat="false" ht="23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customFormat="false" ht="23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customFormat="false" ht="23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customFormat="false" ht="23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customFormat="false" ht="23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customFormat="false" ht="23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customFormat="false" ht="23" hidden="false" customHeight="tru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customFormat="false" ht="23" hidden="false" customHeight="tru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customFormat="false" ht="23" hidden="false" customHeight="tru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customFormat="false" ht="23" hidden="false" customHeight="tru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customFormat="false" ht="23" hidden="false" customHeight="tru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customFormat="false" ht="23" hidden="false" customHeight="tru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customFormat="false" ht="23" hidden="false" customHeight="tru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customFormat="false" ht="23" hidden="false" customHeight="tru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customFormat="false" ht="23" hidden="false" customHeight="tru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customFormat="false" ht="23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customFormat="false" ht="23" hidden="false" customHeight="tru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customFormat="false" ht="23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customFormat="false" ht="23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customFormat="false" ht="23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customFormat="false" ht="23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customFormat="false" ht="23" hidden="false" customHeight="tru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customFormat="false" ht="23" hidden="false" customHeight="tru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customFormat="false" ht="23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customFormat="false" ht="23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customFormat="false" ht="23" hidden="false" customHeight="tru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customFormat="false" ht="23" hidden="false" customHeight="tru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customFormat="false" ht="23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customFormat="false" ht="23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customFormat="false" ht="23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customFormat="false" ht="23" hidden="false" customHeight="tru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customFormat="false" ht="23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customFormat="false" ht="23" hidden="false" customHeight="tru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customFormat="false" ht="23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customFormat="false" ht="23" hidden="false" customHeight="tru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customFormat="false" ht="23" hidden="false" customHeight="tru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customFormat="false" ht="23" hidden="false" customHeight="tru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customFormat="false" ht="23" hidden="false" customHeight="tru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customFormat="false" ht="23" hidden="false" customHeight="tru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customFormat="false" ht="23" hidden="false" customHeight="tru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customFormat="false" ht="23" hidden="false" customHeight="tru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customFormat="false" ht="23" hidden="false" customHeight="tru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customFormat="false" ht="23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customFormat="false" ht="23" hidden="false" customHeight="tru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customFormat="false" ht="23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customFormat="false" ht="23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customFormat="false" ht="23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customFormat="false" ht="23" hidden="false" customHeight="tru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customFormat="false" ht="23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customFormat="false" ht="23" hidden="false" customHeight="tru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customFormat="false" ht="23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customFormat="false" ht="23" hidden="false" customHeight="tru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customFormat="false" ht="23" hidden="false" customHeight="tru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customFormat="false" ht="23" hidden="false" customHeight="tru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customFormat="false" ht="23" hidden="false" customHeight="tru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customFormat="false" ht="23" hidden="false" customHeight="tru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customFormat="false" ht="23" hidden="false" customHeight="tru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customFormat="false" ht="23" hidden="false" customHeight="tru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customFormat="false" ht="23" hidden="false" customHeight="tru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customFormat="false" ht="23" hidden="false" customHeight="tru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customFormat="false" ht="23" hidden="false" customHeight="tru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customFormat="false" ht="23" hidden="false" customHeight="tru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customFormat="false" ht="23" hidden="false" customHeight="tru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customFormat="false" ht="23" hidden="false" customHeight="tru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customFormat="false" ht="23" hidden="false" customHeight="tru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customFormat="false" ht="23" hidden="false" customHeight="tru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customFormat="false" ht="23" hidden="false" customHeight="tru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customFormat="false" ht="23" hidden="false" customHeight="tru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customFormat="false" ht="23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customFormat="false" ht="23" hidden="false" customHeight="tru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customFormat="false" ht="23" hidden="false" customHeight="tru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customFormat="false" ht="23" hidden="false" customHeight="tru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customFormat="false" ht="23" hidden="false" customHeight="tru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customFormat="false" ht="23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customFormat="false" ht="23" hidden="false" customHeight="tru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customFormat="false" ht="23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customFormat="false" ht="23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customFormat="false" ht="23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customFormat="false" ht="23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customFormat="false" ht="23" hidden="false" customHeight="tru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customFormat="false" ht="23" hidden="false" customHeight="tru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customFormat="false" ht="23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customFormat="false" ht="23" hidden="false" customHeight="tru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customFormat="false" ht="23" hidden="false" customHeight="tru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customFormat="false" ht="23" hidden="false" customHeight="tru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customFormat="false" ht="23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customFormat="false" ht="23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customFormat="false" ht="23" hidden="false" customHeight="tru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customFormat="false" ht="23" hidden="false" customHeight="tru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customFormat="false" ht="23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customFormat="false" ht="23" hidden="false" customHeight="tru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customFormat="false" ht="23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customFormat="false" ht="23" hidden="false" customHeight="tru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customFormat="false" ht="23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customFormat="false" ht="23" hidden="false" customHeight="tru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customFormat="false" ht="23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customFormat="false" ht="23" hidden="false" customHeight="tru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customFormat="false" ht="23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customFormat="false" ht="23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customFormat="false" ht="23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customFormat="false" ht="23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customFormat="false" ht="23" hidden="false" customHeight="tru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customFormat="false" ht="23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customFormat="false" ht="23" hidden="false" customHeight="tru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customFormat="false" ht="23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customFormat="false" ht="23" hidden="false" customHeight="tru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customFormat="false" ht="23" hidden="false" customHeight="tru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customFormat="false" ht="23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customFormat="false" ht="23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customFormat="false" ht="23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customFormat="false" ht="23" hidden="false" customHeight="tru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customFormat="false" ht="23" hidden="false" customHeight="tru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customFormat="false" ht="23" hidden="false" customHeight="tru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customFormat="false" ht="23" hidden="false" customHeight="tru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customFormat="false" ht="23" hidden="false" customHeight="tru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customFormat="false" ht="23" hidden="false" customHeight="tru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customFormat="false" ht="23" hidden="false" customHeight="tru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customFormat="false" ht="23" hidden="false" customHeight="tru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customFormat="false" ht="23" hidden="false" customHeight="tru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customFormat="false" ht="23" hidden="false" customHeight="tru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customFormat="false" ht="23" hidden="false" customHeight="tru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customFormat="false" ht="23" hidden="false" customHeight="tru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customFormat="false" ht="23" hidden="false" customHeight="tru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customFormat="false" ht="23" hidden="false" customHeight="tru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customFormat="false" ht="23" hidden="false" customHeight="tru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customFormat="false" ht="23" hidden="false" customHeight="tru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customFormat="false" ht="23" hidden="false" customHeight="tru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customFormat="false" ht="23" hidden="false" customHeight="tru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customFormat="false" ht="23" hidden="false" customHeight="tru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customFormat="false" ht="23" hidden="false" customHeight="tru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customFormat="false" ht="23" hidden="false" customHeight="tru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customFormat="false" ht="23" hidden="false" customHeight="tru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customFormat="false" ht="23" hidden="false" customHeight="tru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customFormat="false" ht="23" hidden="false" customHeight="tru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customFormat="false" ht="23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customFormat="false" ht="23" hidden="false" customHeight="tru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customFormat="false" ht="23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customFormat="false" ht="23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customFormat="false" ht="23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customFormat="false" ht="23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customFormat="false" ht="23" hidden="false" customHeight="tru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customFormat="false" ht="23" hidden="false" customHeight="tru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customFormat="false" ht="23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customFormat="false" ht="23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customFormat="false" ht="23" hidden="false" customHeight="tru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customFormat="false" ht="23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customFormat="false" ht="23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customFormat="false" ht="23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customFormat="false" ht="23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customFormat="false" ht="32" hidden="false" customHeight="true" outlineLevel="0" collapsed="false">
      <c r="A364" s="1"/>
      <c r="B364" s="6" t="s">
        <v>375</v>
      </c>
      <c r="C364" s="6" t="s">
        <v>376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customFormat="false" ht="23" hidden="false" customHeight="true" outlineLevel="0" collapsed="false">
      <c r="A365" s="1"/>
      <c r="B365" s="7" t="s">
        <v>377</v>
      </c>
      <c r="C365" s="7" t="s">
        <v>378</v>
      </c>
      <c r="D365" s="7"/>
      <c r="E365" s="7"/>
      <c r="F365" s="7"/>
      <c r="G365" s="7"/>
      <c r="H365" s="7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customFormat="false" ht="23" hidden="false" customHeight="true" outlineLevel="0" collapsed="false">
      <c r="A366" s="1"/>
      <c r="B366" s="7"/>
      <c r="C366" s="7"/>
      <c r="D366" s="7"/>
      <c r="E366" s="7"/>
      <c r="F366" s="7"/>
      <c r="G366" s="7"/>
      <c r="H366" s="7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customFormat="false" ht="23" hidden="false" customHeight="true" outlineLevel="0" collapsed="false">
      <c r="A367" s="1"/>
      <c r="B367" s="7" t="s">
        <v>379</v>
      </c>
      <c r="C367" s="7" t="s">
        <v>380</v>
      </c>
      <c r="D367" s="7"/>
      <c r="E367" s="7"/>
      <c r="F367" s="7"/>
      <c r="G367" s="7"/>
      <c r="H367" s="7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customFormat="false" ht="23" hidden="false" customHeight="true" outlineLevel="0" collapsed="false">
      <c r="A368" s="1"/>
      <c r="B368" s="7"/>
      <c r="C368" s="7"/>
      <c r="D368" s="7"/>
      <c r="E368" s="7"/>
      <c r="F368" s="7"/>
      <c r="G368" s="7"/>
      <c r="H368" s="7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customFormat="false" ht="23" hidden="false" customHeight="true" outlineLevel="0" collapsed="false">
      <c r="A369" s="1"/>
      <c r="B369" s="7" t="s">
        <v>381</v>
      </c>
      <c r="C369" s="7" t="s">
        <v>382</v>
      </c>
      <c r="D369" s="7"/>
      <c r="E369" s="7"/>
      <c r="F369" s="7"/>
      <c r="G369" s="7"/>
      <c r="H369" s="7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customFormat="false" ht="23" hidden="false" customHeight="true" outlineLevel="0" collapsed="false">
      <c r="A370" s="1"/>
      <c r="B370" s="7"/>
      <c r="C370" s="7"/>
      <c r="D370" s="7"/>
      <c r="E370" s="7"/>
      <c r="F370" s="7"/>
      <c r="G370" s="7"/>
      <c r="H370" s="7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customFormat="false" ht="23" hidden="false" customHeight="true" outlineLevel="0" collapsed="false">
      <c r="A371" s="1"/>
      <c r="B371" s="7" t="s">
        <v>383</v>
      </c>
      <c r="C371" s="7" t="s">
        <v>384</v>
      </c>
      <c r="D371" s="7"/>
      <c r="E371" s="7"/>
      <c r="F371" s="7"/>
      <c r="G371" s="7"/>
      <c r="H371" s="7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customFormat="false" ht="23" hidden="false" customHeight="true" outlineLevel="0" collapsed="false">
      <c r="A372" s="1"/>
      <c r="B372" s="7"/>
      <c r="C372" s="7"/>
      <c r="D372" s="7"/>
      <c r="E372" s="7"/>
      <c r="F372" s="7"/>
      <c r="G372" s="7"/>
      <c r="H372" s="7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customFormat="false" ht="23" hidden="false" customHeight="true" outlineLevel="0" collapsed="false">
      <c r="A373" s="1"/>
      <c r="B373" s="7" t="s">
        <v>385</v>
      </c>
      <c r="C373" s="7" t="s">
        <v>386</v>
      </c>
      <c r="D373" s="7"/>
      <c r="E373" s="7"/>
      <c r="F373" s="7"/>
      <c r="G373" s="7"/>
      <c r="H373" s="7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customFormat="false" ht="23" hidden="false" customHeight="true" outlineLevel="0" collapsed="false">
      <c r="A374" s="1"/>
      <c r="B374" s="7"/>
      <c r="C374" s="7"/>
      <c r="D374" s="7"/>
      <c r="E374" s="7"/>
      <c r="F374" s="7"/>
      <c r="G374" s="7"/>
      <c r="H374" s="7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customFormat="false" ht="23" hidden="false" customHeight="true" outlineLevel="0" collapsed="false">
      <c r="A375" s="1"/>
      <c r="B375" s="7" t="s">
        <v>387</v>
      </c>
      <c r="C375" s="7" t="s">
        <v>388</v>
      </c>
      <c r="D375" s="7"/>
      <c r="E375" s="7"/>
      <c r="F375" s="7"/>
      <c r="G375" s="7"/>
      <c r="H375" s="7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customFormat="false" ht="23" hidden="false" customHeight="true" outlineLevel="0" collapsed="false">
      <c r="A376" s="1"/>
      <c r="B376" s="7"/>
      <c r="C376" s="7"/>
      <c r="D376" s="7"/>
      <c r="E376" s="7"/>
      <c r="F376" s="7"/>
      <c r="G376" s="7"/>
      <c r="H376" s="7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customFormat="false" ht="23" hidden="false" customHeight="true" outlineLevel="0" collapsed="false">
      <c r="A377" s="1"/>
      <c r="B377" s="7" t="s">
        <v>389</v>
      </c>
      <c r="C377" s="7" t="s">
        <v>390</v>
      </c>
      <c r="D377" s="7"/>
      <c r="E377" s="7"/>
      <c r="F377" s="7"/>
      <c r="G377" s="7"/>
      <c r="H377" s="7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customFormat="false" ht="23" hidden="false" customHeight="true" outlineLevel="0" collapsed="false">
      <c r="A378" s="1"/>
      <c r="B378" s="7"/>
      <c r="C378" s="7"/>
      <c r="D378" s="7"/>
      <c r="E378" s="7"/>
      <c r="F378" s="7"/>
      <c r="G378" s="7"/>
      <c r="H378" s="7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customFormat="false" ht="23" hidden="false" customHeight="true" outlineLevel="0" collapsed="false">
      <c r="A379" s="1"/>
      <c r="B379" s="7" t="s">
        <v>391</v>
      </c>
      <c r="C379" s="7" t="s">
        <v>392</v>
      </c>
      <c r="D379" s="7"/>
      <c r="E379" s="7"/>
      <c r="F379" s="7"/>
      <c r="G379" s="7"/>
      <c r="H379" s="7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customFormat="false" ht="23" hidden="false" customHeight="true" outlineLevel="0" collapsed="false">
      <c r="A380" s="1"/>
      <c r="B380" s="7"/>
      <c r="C380" s="7"/>
      <c r="D380" s="7"/>
      <c r="E380" s="7"/>
      <c r="F380" s="7"/>
      <c r="G380" s="7"/>
      <c r="H380" s="7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customFormat="false" ht="23" hidden="false" customHeight="true" outlineLevel="0" collapsed="false">
      <c r="A381" s="1"/>
      <c r="B381" s="7" t="s">
        <v>393</v>
      </c>
      <c r="C381" s="7" t="s">
        <v>394</v>
      </c>
      <c r="D381" s="7"/>
      <c r="E381" s="7"/>
      <c r="F381" s="7"/>
      <c r="G381" s="7"/>
      <c r="H381" s="7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customFormat="false" ht="23" hidden="false" customHeight="true" outlineLevel="0" collapsed="false">
      <c r="A382" s="1"/>
      <c r="B382" s="7"/>
      <c r="C382" s="7"/>
      <c r="D382" s="7"/>
      <c r="E382" s="7"/>
      <c r="F382" s="7"/>
      <c r="G382" s="7"/>
      <c r="H382" s="7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customFormat="false" ht="23" hidden="false" customHeight="true" outlineLevel="0" collapsed="false">
      <c r="A383" s="1"/>
      <c r="B383" s="7" t="s">
        <v>395</v>
      </c>
      <c r="C383" s="7" t="s">
        <v>396</v>
      </c>
      <c r="D383" s="7"/>
      <c r="E383" s="7"/>
      <c r="F383" s="7"/>
      <c r="G383" s="7"/>
      <c r="H383" s="7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customFormat="false" ht="23" hidden="false" customHeight="true" outlineLevel="0" collapsed="false">
      <c r="A384" s="1"/>
      <c r="B384" s="7"/>
      <c r="C384" s="7"/>
      <c r="D384" s="7"/>
      <c r="E384" s="7"/>
      <c r="F384" s="7"/>
      <c r="G384" s="7"/>
      <c r="H384" s="7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customFormat="false" ht="23" hidden="false" customHeight="true" outlineLevel="0" collapsed="false">
      <c r="A385" s="1"/>
      <c r="B385" s="7" t="s">
        <v>397</v>
      </c>
      <c r="C385" s="7" t="s">
        <v>398</v>
      </c>
      <c r="D385" s="7"/>
      <c r="E385" s="7"/>
      <c r="F385" s="7"/>
      <c r="G385" s="7"/>
      <c r="H385" s="7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customFormat="false" ht="23" hidden="false" customHeight="true" outlineLevel="0" collapsed="false">
      <c r="A386" s="1"/>
      <c r="B386" s="7"/>
      <c r="C386" s="7"/>
      <c r="D386" s="7"/>
      <c r="E386" s="7"/>
      <c r="F386" s="7"/>
      <c r="G386" s="7"/>
      <c r="H386" s="7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customFormat="false" ht="23" hidden="false" customHeight="true" outlineLevel="0" collapsed="false">
      <c r="A387" s="1"/>
      <c r="B387" s="7" t="s">
        <v>399</v>
      </c>
      <c r="C387" s="7" t="s">
        <v>400</v>
      </c>
      <c r="D387" s="7"/>
      <c r="E387" s="7"/>
      <c r="F387" s="7"/>
      <c r="G387" s="7"/>
      <c r="H387" s="7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customFormat="false" ht="23" hidden="false" customHeight="true" outlineLevel="0" collapsed="false">
      <c r="A388" s="1"/>
      <c r="B388" s="7"/>
      <c r="C388" s="7"/>
      <c r="D388" s="7"/>
      <c r="E388" s="7"/>
      <c r="F388" s="7"/>
      <c r="G388" s="7"/>
      <c r="H388" s="7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customFormat="false" ht="23" hidden="false" customHeight="true" outlineLevel="0" collapsed="false">
      <c r="A389" s="1"/>
      <c r="B389" s="7" t="s">
        <v>401</v>
      </c>
      <c r="C389" s="7" t="s">
        <v>402</v>
      </c>
      <c r="D389" s="7"/>
      <c r="E389" s="7"/>
      <c r="F389" s="7"/>
      <c r="G389" s="7"/>
      <c r="H389" s="7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customFormat="false" ht="23" hidden="false" customHeight="true" outlineLevel="0" collapsed="false">
      <c r="A390" s="1"/>
      <c r="B390" s="7"/>
      <c r="C390" s="7"/>
      <c r="D390" s="7"/>
      <c r="E390" s="7"/>
      <c r="F390" s="7"/>
      <c r="G390" s="7"/>
      <c r="H390" s="7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customFormat="false" ht="23" hidden="false" customHeight="true" outlineLevel="0" collapsed="false">
      <c r="A391" s="1"/>
      <c r="B391" s="7" t="s">
        <v>403</v>
      </c>
      <c r="C391" s="7" t="s">
        <v>404</v>
      </c>
      <c r="D391" s="7"/>
      <c r="E391" s="7"/>
      <c r="F391" s="7"/>
      <c r="G391" s="7"/>
      <c r="H391" s="7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customFormat="false" ht="23" hidden="false" customHeight="true" outlineLevel="0" collapsed="false">
      <c r="A392" s="1"/>
      <c r="B392" s="7"/>
      <c r="C392" s="7"/>
      <c r="D392" s="7"/>
      <c r="E392" s="7"/>
      <c r="F392" s="7"/>
      <c r="G392" s="7"/>
      <c r="H392" s="7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customFormat="false" ht="23" hidden="false" customHeight="true" outlineLevel="0" collapsed="false">
      <c r="A393" s="1"/>
      <c r="B393" s="7" t="s">
        <v>405</v>
      </c>
      <c r="C393" s="7" t="s">
        <v>406</v>
      </c>
      <c r="D393" s="7"/>
      <c r="E393" s="7"/>
      <c r="F393" s="7"/>
      <c r="G393" s="7"/>
      <c r="H393" s="7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customFormat="false" ht="23" hidden="false" customHeight="true" outlineLevel="0" collapsed="false">
      <c r="A394" s="1"/>
      <c r="B394" s="7"/>
      <c r="C394" s="7"/>
      <c r="D394" s="7"/>
      <c r="E394" s="7"/>
      <c r="F394" s="7"/>
      <c r="G394" s="7"/>
      <c r="H394" s="7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customFormat="false" ht="23" hidden="false" customHeight="true" outlineLevel="0" collapsed="false">
      <c r="A395" s="1"/>
      <c r="B395" s="7" t="s">
        <v>407</v>
      </c>
      <c r="C395" s="7" t="s">
        <v>408</v>
      </c>
      <c r="D395" s="7"/>
      <c r="E395" s="7"/>
      <c r="F395" s="7"/>
      <c r="G395" s="7"/>
      <c r="H395" s="7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customFormat="false" ht="23" hidden="false" customHeight="true" outlineLevel="0" collapsed="false">
      <c r="A396" s="1"/>
      <c r="B396" s="7"/>
      <c r="C396" s="7"/>
      <c r="D396" s="7"/>
      <c r="E396" s="7"/>
      <c r="F396" s="7"/>
      <c r="G396" s="7"/>
      <c r="H396" s="7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customFormat="false" ht="23" hidden="false" customHeight="tru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customFormat="false" ht="23" hidden="false" customHeight="tru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customFormat="false" ht="23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customFormat="false" ht="23" hidden="false" customHeight="tru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customFormat="false" ht="23" hidden="false" customHeight="tru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customFormat="false" ht="23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customFormat="false" ht="23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customFormat="false" ht="23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customFormat="false" ht="23" hidden="false" customHeight="tru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customFormat="false" ht="23" hidden="false" customHeight="tru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customFormat="false" ht="23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customFormat="false" ht="23" hidden="false" customHeight="tru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customFormat="false" ht="23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customFormat="false" ht="23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</sheetData>
  <mergeCells count="17">
    <mergeCell ref="B5:H6"/>
    <mergeCell ref="C365:H366"/>
    <mergeCell ref="C367:H368"/>
    <mergeCell ref="C369:H370"/>
    <mergeCell ref="C371:H372"/>
    <mergeCell ref="C373:H374"/>
    <mergeCell ref="C375:H376"/>
    <mergeCell ref="C377:H378"/>
    <mergeCell ref="C379:H380"/>
    <mergeCell ref="C381:H382"/>
    <mergeCell ref="C383:H384"/>
    <mergeCell ref="C385:H386"/>
    <mergeCell ref="C387:H388"/>
    <mergeCell ref="C389:H390"/>
    <mergeCell ref="C391:H392"/>
    <mergeCell ref="C393:H394"/>
    <mergeCell ref="C395:H3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